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pyle\Downloads\"/>
    </mc:Choice>
  </mc:AlternateContent>
  <bookViews>
    <workbookView xWindow="0" yWindow="0" windowWidth="12615" windowHeight="9195"/>
  </bookViews>
  <sheets>
    <sheet name="Information" sheetId="9" r:id="rId1"/>
    <sheet name="TankDrive" sheetId="1" r:id="rId2"/>
    <sheet name="Mechanisms" sheetId="7" r:id="rId3"/>
    <sheet name="Pneumatics" sheetId="5" r:id="rId4"/>
    <sheet name="Belt - Chain Center Distance" sheetId="6" r:id="rId5"/>
    <sheet name="Data" sheetId="4" r:id="rId6"/>
    <sheet name="Revision Log" sheetId="8" r:id="rId7"/>
  </sheets>
  <definedNames>
    <definedName name="Chain">Data!#REF!</definedName>
    <definedName name="Contact">Data!$C$14:$C$15</definedName>
    <definedName name="Drive_Motors" localSheetId="2">Mechanisms!#REF!</definedName>
    <definedName name="Drive_Motors">TankDrive!#REF!</definedName>
    <definedName name="Motors">Data!$B$3:$B$10</definedName>
    <definedName name="Rollers">Data!$E$14:$E$15</definedName>
    <definedName name="Specs">Data!$B$3:$G$10</definedName>
  </definedNames>
  <calcPr calcId="152511"/>
</workbook>
</file>

<file path=xl/calcChain.xml><?xml version="1.0" encoding="utf-8"?>
<calcChain xmlns="http://schemas.openxmlformats.org/spreadsheetml/2006/main">
  <c r="E44" i="7" l="1"/>
  <c r="F44" i="7"/>
  <c r="G44" i="7"/>
  <c r="H44" i="7"/>
  <c r="E45" i="7"/>
  <c r="F45" i="7"/>
  <c r="G45" i="7"/>
  <c r="H45" i="7"/>
  <c r="D45" i="7"/>
  <c r="D44" i="7"/>
  <c r="E51" i="1" l="1"/>
  <c r="F51" i="1"/>
  <c r="G51" i="1"/>
  <c r="H51" i="1"/>
  <c r="I51" i="1"/>
  <c r="J51" i="1"/>
  <c r="D51" i="1"/>
  <c r="E50" i="1"/>
  <c r="F50" i="1"/>
  <c r="G50" i="1"/>
  <c r="H50" i="1"/>
  <c r="I50" i="1"/>
  <c r="J50" i="1"/>
  <c r="D50" i="1"/>
  <c r="C6" i="6" l="1"/>
  <c r="E47" i="7" l="1"/>
  <c r="E32" i="7"/>
  <c r="E30" i="7"/>
  <c r="E31" i="7" s="1"/>
  <c r="E8" i="7"/>
  <c r="E7" i="7"/>
  <c r="E6" i="7"/>
  <c r="E5" i="7"/>
  <c r="R15" i="6"/>
  <c r="R16" i="6" s="1"/>
  <c r="Q15" i="6"/>
  <c r="Q17" i="6" s="1"/>
  <c r="P15" i="6"/>
  <c r="P17" i="6" s="1"/>
  <c r="O15" i="6"/>
  <c r="O16" i="6" s="1"/>
  <c r="N15" i="6"/>
  <c r="N16" i="6" s="1"/>
  <c r="M15" i="6"/>
  <c r="M16" i="6" s="1"/>
  <c r="L15" i="6"/>
  <c r="L17" i="6" s="1"/>
  <c r="K15" i="6"/>
  <c r="K17" i="6" s="1"/>
  <c r="J15" i="6"/>
  <c r="J16" i="6" s="1"/>
  <c r="H47" i="7"/>
  <c r="H32" i="7"/>
  <c r="H30" i="7"/>
  <c r="H31" i="7" s="1"/>
  <c r="H8" i="7"/>
  <c r="H7" i="7"/>
  <c r="H6" i="7"/>
  <c r="H5" i="7"/>
  <c r="F47" i="7"/>
  <c r="G47" i="7"/>
  <c r="D47" i="7"/>
  <c r="G32" i="7"/>
  <c r="G30" i="7"/>
  <c r="G31" i="7" s="1"/>
  <c r="G8" i="7"/>
  <c r="G7" i="7"/>
  <c r="G6" i="7"/>
  <c r="G5" i="7"/>
  <c r="G34" i="7" s="1"/>
  <c r="H34" i="7" l="1"/>
  <c r="E34" i="7"/>
  <c r="E42" i="7"/>
  <c r="E43" i="7" s="1"/>
  <c r="G42" i="7"/>
  <c r="G43" i="7" s="1"/>
  <c r="H42" i="7"/>
  <c r="H43" i="7" s="1"/>
  <c r="J17" i="6"/>
  <c r="O17" i="6"/>
  <c r="R17" i="6"/>
  <c r="E38" i="7"/>
  <c r="E40" i="7" s="1"/>
  <c r="E33" i="7"/>
  <c r="E46" i="7" s="1"/>
  <c r="E50" i="7" s="1"/>
  <c r="N17" i="6"/>
  <c r="M17" i="6"/>
  <c r="P16" i="6"/>
  <c r="Q16" i="6"/>
  <c r="K16" i="6"/>
  <c r="L16" i="6"/>
  <c r="H38" i="7"/>
  <c r="H40" i="7" s="1"/>
  <c r="H33" i="7"/>
  <c r="H46" i="7" s="1"/>
  <c r="G38" i="7"/>
  <c r="G33" i="7"/>
  <c r="H51" i="7" l="1"/>
  <c r="H52" i="7"/>
  <c r="H53" i="7"/>
  <c r="H54" i="7"/>
  <c r="E48" i="7"/>
  <c r="E51" i="7"/>
  <c r="E52" i="7"/>
  <c r="E53" i="7"/>
  <c r="E54" i="7"/>
  <c r="E39" i="7"/>
  <c r="E41" i="7" s="1"/>
  <c r="E49" i="7"/>
  <c r="E36" i="7"/>
  <c r="E35" i="7"/>
  <c r="E37" i="7" s="1"/>
  <c r="H49" i="7"/>
  <c r="H50" i="7"/>
  <c r="H48" i="7"/>
  <c r="G46" i="7"/>
  <c r="H39" i="7"/>
  <c r="H41" i="7" s="1"/>
  <c r="H36" i="7"/>
  <c r="H35" i="7"/>
  <c r="G39" i="7"/>
  <c r="G41" i="7" s="1"/>
  <c r="G40" i="7"/>
  <c r="G36" i="7"/>
  <c r="G35" i="7"/>
  <c r="G37" i="7" s="1"/>
  <c r="H37" i="7" l="1"/>
  <c r="G51" i="7"/>
  <c r="G52" i="7"/>
  <c r="G53" i="7"/>
  <c r="G54" i="7"/>
  <c r="G49" i="7"/>
  <c r="G50" i="7"/>
  <c r="G48" i="7"/>
  <c r="F32" i="7" l="1"/>
  <c r="F30" i="7"/>
  <c r="F31" i="7" s="1"/>
  <c r="F8" i="7"/>
  <c r="F7" i="7"/>
  <c r="F6" i="7"/>
  <c r="F5" i="7"/>
  <c r="F34" i="7" s="1"/>
  <c r="F42" i="7" l="1"/>
  <c r="F43" i="7" s="1"/>
  <c r="F33" i="7"/>
  <c r="F46" i="7" s="1"/>
  <c r="F38" i="7"/>
  <c r="F40" i="7" s="1"/>
  <c r="F36" i="7"/>
  <c r="F51" i="7" l="1"/>
  <c r="F52" i="7"/>
  <c r="F53" i="7"/>
  <c r="F54" i="7"/>
  <c r="F35" i="7"/>
  <c r="F37" i="7" s="1"/>
  <c r="F39" i="7"/>
  <c r="F41" i="7" s="1"/>
  <c r="F50" i="7" l="1"/>
  <c r="F48" i="7"/>
  <c r="F49" i="7"/>
  <c r="D32" i="7" l="1"/>
  <c r="D30" i="7"/>
  <c r="D31" i="7" s="1"/>
  <c r="D8" i="7"/>
  <c r="D7" i="7"/>
  <c r="D6" i="7"/>
  <c r="D5" i="7"/>
  <c r="D34" i="7" l="1"/>
  <c r="D36" i="7" s="1"/>
  <c r="D42" i="7"/>
  <c r="D33" i="7"/>
  <c r="D46" i="7" s="1"/>
  <c r="D38" i="7"/>
  <c r="D40" i="7" s="1"/>
  <c r="G5" i="4"/>
  <c r="D52" i="7" l="1"/>
  <c r="D53" i="7"/>
  <c r="D54" i="7"/>
  <c r="D51" i="7"/>
  <c r="D35" i="7"/>
  <c r="D37" i="7" s="1"/>
  <c r="D50" i="7"/>
  <c r="D49" i="7"/>
  <c r="D48" i="7"/>
  <c r="D39" i="7"/>
  <c r="D41" i="7" s="1"/>
  <c r="D43" i="7"/>
  <c r="J54" i="1"/>
  <c r="I54" i="1"/>
  <c r="H54" i="1"/>
  <c r="G54" i="1"/>
  <c r="F54" i="1"/>
  <c r="E54" i="1"/>
  <c r="D54" i="1"/>
  <c r="J41" i="1"/>
  <c r="I41" i="1"/>
  <c r="H41" i="1"/>
  <c r="G41" i="1"/>
  <c r="F41" i="1"/>
  <c r="E41" i="1"/>
  <c r="D41" i="1"/>
  <c r="J37" i="1"/>
  <c r="I37" i="1"/>
  <c r="I38" i="1" s="1"/>
  <c r="H37" i="1"/>
  <c r="G37" i="1"/>
  <c r="F37" i="1"/>
  <c r="F38" i="1" s="1"/>
  <c r="E37" i="1"/>
  <c r="E38" i="1" s="1"/>
  <c r="D37" i="1"/>
  <c r="D38" i="1" s="1"/>
  <c r="J8" i="1"/>
  <c r="I8" i="1"/>
  <c r="H8" i="1"/>
  <c r="G8" i="1"/>
  <c r="F8" i="1"/>
  <c r="E8" i="1"/>
  <c r="D8" i="1"/>
  <c r="J7" i="1"/>
  <c r="I7" i="1"/>
  <c r="H7" i="1"/>
  <c r="G7" i="1"/>
  <c r="F7" i="1"/>
  <c r="E7" i="1"/>
  <c r="D7" i="1"/>
  <c r="J6" i="1"/>
  <c r="I6" i="1"/>
  <c r="H6" i="1"/>
  <c r="G6" i="1"/>
  <c r="F6" i="1"/>
  <c r="E6" i="1"/>
  <c r="D6" i="1"/>
  <c r="J5" i="1"/>
  <c r="I5" i="1"/>
  <c r="H5" i="1"/>
  <c r="G5" i="1"/>
  <c r="F5" i="1"/>
  <c r="F39" i="1" s="1"/>
  <c r="E5" i="1"/>
  <c r="D5" i="1"/>
  <c r="D39" i="1" s="1"/>
  <c r="F15" i="6"/>
  <c r="F17" i="6" s="1"/>
  <c r="G15" i="6"/>
  <c r="G16" i="6" s="1"/>
  <c r="H15" i="6"/>
  <c r="H17" i="6" s="1"/>
  <c r="I15" i="6"/>
  <c r="I17" i="6" s="1"/>
  <c r="E15" i="6"/>
  <c r="E17" i="6" s="1"/>
  <c r="D15" i="6"/>
  <c r="D16" i="6" s="1"/>
  <c r="E16" i="6" l="1"/>
  <c r="I16" i="6"/>
  <c r="D53" i="1"/>
  <c r="H53" i="1"/>
  <c r="F53" i="1"/>
  <c r="J53" i="1"/>
  <c r="G53" i="1"/>
  <c r="E53" i="1"/>
  <c r="I53" i="1"/>
  <c r="G38" i="1"/>
  <c r="G42" i="1" s="1"/>
  <c r="G44" i="1" s="1"/>
  <c r="H38" i="1"/>
  <c r="H42" i="1" s="1"/>
  <c r="H45" i="1" s="1"/>
  <c r="J38" i="1"/>
  <c r="J39" i="1" s="1"/>
  <c r="J40" i="1" s="1"/>
  <c r="F40" i="1"/>
  <c r="F52" i="1"/>
  <c r="D40" i="1"/>
  <c r="G39" i="1"/>
  <c r="G40" i="1" s="1"/>
  <c r="H16" i="6"/>
  <c r="G52" i="1"/>
  <c r="I52" i="1"/>
  <c r="G17" i="6"/>
  <c r="E39" i="1"/>
  <c r="E40" i="1" s="1"/>
  <c r="D52" i="1"/>
  <c r="H52" i="1"/>
  <c r="J52" i="1"/>
  <c r="F16" i="6"/>
  <c r="E42" i="1"/>
  <c r="E44" i="1" s="1"/>
  <c r="D42" i="1"/>
  <c r="I42" i="1"/>
  <c r="I39" i="1"/>
  <c r="I40" i="1" s="1"/>
  <c r="F42" i="1"/>
  <c r="E52" i="1"/>
  <c r="D17" i="6"/>
  <c r="E63" i="1" l="1"/>
  <c r="E65" i="1"/>
  <c r="E62" i="1"/>
  <c r="E64" i="1"/>
  <c r="H62" i="1"/>
  <c r="H64" i="1"/>
  <c r="H63" i="1"/>
  <c r="H65" i="1"/>
  <c r="G62" i="1"/>
  <c r="G64" i="1"/>
  <c r="G63" i="1"/>
  <c r="G65" i="1"/>
  <c r="D63" i="1"/>
  <c r="D62" i="1"/>
  <c r="D65" i="1"/>
  <c r="D64" i="1"/>
  <c r="J63" i="1"/>
  <c r="J65" i="1"/>
  <c r="J62" i="1"/>
  <c r="J64" i="1"/>
  <c r="I63" i="1"/>
  <c r="I65" i="1"/>
  <c r="I62" i="1"/>
  <c r="I64" i="1"/>
  <c r="F63" i="1"/>
  <c r="F65" i="1"/>
  <c r="F62" i="1"/>
  <c r="F64" i="1"/>
  <c r="H39" i="1"/>
  <c r="H40" i="1" s="1"/>
  <c r="D43" i="1"/>
  <c r="D48" i="1" s="1"/>
  <c r="J42" i="1"/>
  <c r="J43" i="1" s="1"/>
  <c r="J48" i="1" s="1"/>
  <c r="G45" i="1"/>
  <c r="G43" i="1"/>
  <c r="H43" i="1"/>
  <c r="E45" i="1"/>
  <c r="H44" i="1"/>
  <c r="E43" i="1"/>
  <c r="E47" i="1" s="1"/>
  <c r="D45" i="1"/>
  <c r="D44" i="1"/>
  <c r="F43" i="1"/>
  <c r="F44" i="1"/>
  <c r="F45" i="1"/>
  <c r="I45" i="1"/>
  <c r="I44" i="1"/>
  <c r="I43" i="1"/>
  <c r="D46" i="1"/>
  <c r="H23" i="5"/>
  <c r="I23" i="5"/>
  <c r="J23" i="5"/>
  <c r="K23" i="5"/>
  <c r="L23" i="5"/>
  <c r="M23" i="5"/>
  <c r="N23" i="5"/>
  <c r="O23" i="5"/>
  <c r="P23" i="5"/>
  <c r="Q23" i="5"/>
  <c r="R23" i="5"/>
  <c r="H24" i="5"/>
  <c r="I24" i="5"/>
  <c r="J24" i="5"/>
  <c r="K24" i="5"/>
  <c r="L24" i="5"/>
  <c r="M24" i="5"/>
  <c r="N24" i="5"/>
  <c r="O24" i="5"/>
  <c r="P24" i="5"/>
  <c r="Q24" i="5"/>
  <c r="R24" i="5"/>
  <c r="H25" i="5"/>
  <c r="I25" i="5"/>
  <c r="J25" i="5"/>
  <c r="K25" i="5"/>
  <c r="L25" i="5"/>
  <c r="M25" i="5"/>
  <c r="N25" i="5"/>
  <c r="O25" i="5"/>
  <c r="P25" i="5"/>
  <c r="Q25" i="5"/>
  <c r="R25" i="5"/>
  <c r="H26" i="5"/>
  <c r="I26" i="5"/>
  <c r="J26" i="5"/>
  <c r="K26" i="5"/>
  <c r="L26" i="5"/>
  <c r="M26" i="5"/>
  <c r="N26" i="5"/>
  <c r="O26" i="5"/>
  <c r="P26" i="5"/>
  <c r="Q26" i="5"/>
  <c r="R26" i="5"/>
  <c r="H27" i="5"/>
  <c r="H29" i="5" s="1"/>
  <c r="I27" i="5"/>
  <c r="J27" i="5"/>
  <c r="J29" i="5" s="1"/>
  <c r="K27" i="5"/>
  <c r="K29" i="5" s="1"/>
  <c r="L27" i="5"/>
  <c r="L29" i="5" s="1"/>
  <c r="M27" i="5"/>
  <c r="N27" i="5"/>
  <c r="N29" i="5" s="1"/>
  <c r="O27" i="5"/>
  <c r="O29" i="5" s="1"/>
  <c r="P27" i="5"/>
  <c r="P29" i="5" s="1"/>
  <c r="Q27" i="5"/>
  <c r="R27" i="5"/>
  <c r="R29" i="5" s="1"/>
  <c r="H28" i="5"/>
  <c r="H30" i="5" s="1"/>
  <c r="I28" i="5"/>
  <c r="I30" i="5" s="1"/>
  <c r="J28" i="5"/>
  <c r="K28" i="5"/>
  <c r="K30" i="5" s="1"/>
  <c r="L28" i="5"/>
  <c r="L30" i="5" s="1"/>
  <c r="M28" i="5"/>
  <c r="M30" i="5" s="1"/>
  <c r="N28" i="5"/>
  <c r="O28" i="5"/>
  <c r="O30" i="5" s="1"/>
  <c r="P28" i="5"/>
  <c r="P30" i="5" s="1"/>
  <c r="Q28" i="5"/>
  <c r="Q30" i="5" s="1"/>
  <c r="R28" i="5"/>
  <c r="I29" i="5"/>
  <c r="M29" i="5"/>
  <c r="Q29" i="5"/>
  <c r="J30" i="5"/>
  <c r="N30" i="5"/>
  <c r="R30" i="5"/>
  <c r="G23" i="5"/>
  <c r="G24" i="5"/>
  <c r="G25" i="5"/>
  <c r="G26" i="5"/>
  <c r="G27" i="5"/>
  <c r="G29" i="5" s="1"/>
  <c r="G28" i="5"/>
  <c r="G30" i="5" s="1"/>
  <c r="F23" i="5"/>
  <c r="F24" i="5"/>
  <c r="D24" i="5"/>
  <c r="D23" i="5"/>
  <c r="D25" i="5"/>
  <c r="F27" i="5"/>
  <c r="F29" i="5" s="1"/>
  <c r="F28" i="5"/>
  <c r="F30" i="5" s="1"/>
  <c r="D28" i="5"/>
  <c r="D30" i="5" s="1"/>
  <c r="D27" i="5"/>
  <c r="D29" i="5" s="1"/>
  <c r="F25" i="5"/>
  <c r="F26" i="5"/>
  <c r="D26" i="5"/>
  <c r="E18" i="5"/>
  <c r="E28" i="5" s="1"/>
  <c r="E30" i="5" s="1"/>
  <c r="D47" i="1" l="1"/>
  <c r="J47" i="1"/>
  <c r="J46" i="1"/>
  <c r="J45" i="1"/>
  <c r="J44" i="1"/>
  <c r="D55" i="1"/>
  <c r="J55" i="1"/>
  <c r="G47" i="1"/>
  <c r="H46" i="1"/>
  <c r="H48" i="1"/>
  <c r="G46" i="1"/>
  <c r="H47" i="1"/>
  <c r="G48" i="1"/>
  <c r="E48" i="1"/>
  <c r="E46" i="1"/>
  <c r="F46" i="1"/>
  <c r="F47" i="1"/>
  <c r="F48" i="1"/>
  <c r="I46" i="1"/>
  <c r="I47" i="1"/>
  <c r="I48" i="1"/>
  <c r="D49" i="1"/>
  <c r="J49" i="1"/>
  <c r="E27" i="5"/>
  <c r="E29" i="5" s="1"/>
  <c r="D8" i="5" s="1"/>
  <c r="E26" i="5"/>
  <c r="E23" i="5"/>
  <c r="E24" i="5"/>
  <c r="E25" i="5"/>
  <c r="F55" i="1" l="1"/>
  <c r="E55" i="1"/>
  <c r="H55" i="1"/>
  <c r="I55" i="1"/>
  <c r="G55" i="1"/>
  <c r="G61" i="1"/>
  <c r="E61" i="1"/>
  <c r="H59" i="1"/>
  <c r="G49" i="1"/>
  <c r="H49" i="1"/>
  <c r="E49" i="1"/>
  <c r="D9" i="5"/>
  <c r="D10" i="5" s="1"/>
  <c r="F49" i="1"/>
  <c r="I49" i="1"/>
  <c r="J60" i="1" l="1"/>
  <c r="J56" i="1"/>
  <c r="J57" i="1" s="1"/>
  <c r="J58" i="1" s="1"/>
  <c r="J61" i="1"/>
  <c r="J59" i="1"/>
  <c r="D60" i="1"/>
  <c r="D59" i="1"/>
  <c r="D56" i="1"/>
  <c r="D57" i="1" s="1"/>
  <c r="D58" i="1" s="1"/>
  <c r="D61" i="1"/>
  <c r="G60" i="1"/>
  <c r="H61" i="1"/>
  <c r="G56" i="1"/>
  <c r="G57" i="1" s="1"/>
  <c r="G58" i="1" s="1"/>
  <c r="H56" i="1"/>
  <c r="H57" i="1" s="1"/>
  <c r="H58" i="1" s="1"/>
  <c r="H60" i="1"/>
  <c r="G59" i="1"/>
  <c r="E60" i="1"/>
  <c r="E59" i="1"/>
  <c r="E56" i="1"/>
  <c r="E57" i="1" s="1"/>
  <c r="E58" i="1" s="1"/>
  <c r="F59" i="1"/>
  <c r="F60" i="1"/>
  <c r="F61" i="1"/>
  <c r="F56" i="1"/>
  <c r="F57" i="1" s="1"/>
  <c r="F58" i="1" s="1"/>
  <c r="I56" i="1"/>
  <c r="I57" i="1" s="1"/>
  <c r="I58" i="1" s="1"/>
  <c r="I61" i="1"/>
  <c r="I59" i="1"/>
  <c r="I60" i="1"/>
  <c r="B48" i="4"/>
  <c r="B49" i="4"/>
  <c r="B50" i="4"/>
  <c r="B51" i="4"/>
  <c r="B52" i="4"/>
  <c r="B53" i="4"/>
  <c r="B47" i="4"/>
  <c r="B24" i="4"/>
  <c r="B25" i="4"/>
  <c r="B26" i="4"/>
  <c r="B27" i="4"/>
  <c r="B28" i="4"/>
  <c r="B29" i="4"/>
  <c r="B23" i="4"/>
  <c r="G10" i="4" l="1"/>
  <c r="G8" i="4"/>
  <c r="G7" i="4"/>
  <c r="G6" i="4"/>
  <c r="G4" i="4"/>
  <c r="G3" i="4"/>
</calcChain>
</file>

<file path=xl/sharedStrings.xml><?xml version="1.0" encoding="utf-8"?>
<sst xmlns="http://schemas.openxmlformats.org/spreadsheetml/2006/main" count="455" uniqueCount="251">
  <si>
    <t>Inputs</t>
  </si>
  <si>
    <t>Free Speed (RPM)</t>
  </si>
  <si>
    <t>Stall Current (Amp)</t>
  </si>
  <si>
    <t>Free Current (Amp)</t>
  </si>
  <si>
    <t>Power (W)</t>
  </si>
  <si>
    <t>CIM</t>
  </si>
  <si>
    <t>Mini CIM</t>
  </si>
  <si>
    <t>BAG Motor</t>
  </si>
  <si>
    <t>775pro</t>
  </si>
  <si>
    <t>AM 775</t>
  </si>
  <si>
    <t>AM 9015</t>
  </si>
  <si>
    <t>BB RS-775-18</t>
  </si>
  <si>
    <t>Stall Torque 
(N-m)</t>
  </si>
  <si>
    <t>Sprocket/Pulley Efficiency</t>
  </si>
  <si>
    <t>Free Speed</t>
  </si>
  <si>
    <t>Actual Speed</t>
  </si>
  <si>
    <t>Gearbox Sprocket/Pulley Pitch Diameter</t>
  </si>
  <si>
    <t>Motor</t>
  </si>
  <si>
    <t>Stall Torque</t>
  </si>
  <si>
    <t>Stall Current</t>
  </si>
  <si>
    <t>Free Current</t>
  </si>
  <si>
    <t>RPM</t>
  </si>
  <si>
    <t>N*M</t>
  </si>
  <si>
    <t>Amp</t>
  </si>
  <si>
    <t>Pounds</t>
  </si>
  <si>
    <t>Teeth</t>
  </si>
  <si>
    <t>Inches</t>
  </si>
  <si>
    <t>Number of Gearboxes</t>
  </si>
  <si>
    <t>Motors per Gearbox</t>
  </si>
  <si>
    <t>Total Weight</t>
  </si>
  <si>
    <t>Percent of weight on driven wheels</t>
  </si>
  <si>
    <t>%</t>
  </si>
  <si>
    <t>Wheel Diameter</t>
  </si>
  <si>
    <t>Wheel Coefficient of Friction</t>
  </si>
  <si>
    <t>Gearbox Stage Efficiency</t>
  </si>
  <si>
    <t>Gearbox Stage1_driving</t>
  </si>
  <si>
    <t>Gearbox Stage1_driven</t>
  </si>
  <si>
    <t>Gearbox Stage2_driving</t>
  </si>
  <si>
    <t>Gearbox Stage2_driven</t>
  </si>
  <si>
    <t>Gearbox Stage3_driving</t>
  </si>
  <si>
    <t>Gearbox Stage3_driven</t>
  </si>
  <si>
    <t>Wheel Sprocket/Pulley Pitch Diameter</t>
  </si>
  <si>
    <t>Gearbox Sprocket/Pulley</t>
  </si>
  <si>
    <t>Wheel Sprocket/Pulley</t>
  </si>
  <si>
    <t>Unloaded Battery Voltage</t>
  </si>
  <si>
    <t>Gearbox Ratio</t>
  </si>
  <si>
    <t>Pushing Current Per Motor</t>
  </si>
  <si>
    <t>Pushing Total Current</t>
  </si>
  <si>
    <t>Pushing Battery Voltage</t>
  </si>
  <si>
    <t>Pushing Chain Tension @ 12V</t>
  </si>
  <si>
    <t>Traction Limited</t>
  </si>
  <si>
    <t>Total Pushing Force</t>
  </si>
  <si>
    <t>Feet/Sec</t>
  </si>
  <si>
    <t>Calculations</t>
  </si>
  <si>
    <t>Drivetrain Efficiency</t>
  </si>
  <si>
    <t>Overall Ratio</t>
  </si>
  <si>
    <t>Pushing Brown Out Condition</t>
  </si>
  <si>
    <t>Single Speed</t>
  </si>
  <si>
    <t>Turning</t>
  </si>
  <si>
    <t>Will it turn?</t>
  </si>
  <si>
    <t>Wheels Contacting Ground Track Width</t>
  </si>
  <si>
    <t>Number of Wheels Contacting Ground</t>
  </si>
  <si>
    <t>Lateral Wheel Coefficient of Friction</t>
  </si>
  <si>
    <t>FOS</t>
  </si>
  <si>
    <t>25 Chain</t>
  </si>
  <si>
    <t>25H Chain</t>
  </si>
  <si>
    <t>35 Chain</t>
  </si>
  <si>
    <t>Quantity</t>
  </si>
  <si>
    <t>µ</t>
  </si>
  <si>
    <t>Max</t>
  </si>
  <si>
    <t>Min</t>
  </si>
  <si>
    <t>Amps</t>
  </si>
  <si>
    <t>Min Sec</t>
  </si>
  <si>
    <t>Max Sec</t>
  </si>
  <si>
    <t>Pushing 40 Amp Breaker Min Trip Time</t>
  </si>
  <si>
    <t>Pushing 40 Amp Breaker Max Trip Time</t>
  </si>
  <si>
    <t>Pushing 120 Amp Breaker Min Trip Time</t>
  </si>
  <si>
    <t>Pushing 120 Amp Breaker Max Trip Time</t>
  </si>
  <si>
    <t>Low Gear</t>
  </si>
  <si>
    <t>High Gear</t>
  </si>
  <si>
    <t>Center Drop
WCD (Center Wheel Direct Drive)
6 Wheels</t>
  </si>
  <si>
    <t>AM14U3 Long
6 Wheels</t>
  </si>
  <si>
    <t>AM14U3 Square
6 Wheels</t>
  </si>
  <si>
    <t>AM14U3 Wide
6 Wheels</t>
  </si>
  <si>
    <t>Wheels Contacting Ground Wheel Base</t>
  </si>
  <si>
    <t>Center of Mass from Center of Wheel Base</t>
  </si>
  <si>
    <t>Select</t>
  </si>
  <si>
    <t>5mm Pitch, 9mm HTD Belt</t>
  </si>
  <si>
    <t>5mm Pitch, 15mm HTD Belt</t>
  </si>
  <si>
    <t>5mm Pitch, 9mm GT2 Belt</t>
  </si>
  <si>
    <t>5mm Pitch, 15mm GT2 Belt</t>
  </si>
  <si>
    <t>Battery Voltage Drop Rate</t>
  </si>
  <si>
    <t>Name</t>
  </si>
  <si>
    <t>Diameter</t>
  </si>
  <si>
    <t>Stroke Length</t>
  </si>
  <si>
    <t>Rod Diameter</t>
  </si>
  <si>
    <t>Number of Cylinders</t>
  </si>
  <si>
    <t>Operating Pressure</t>
  </si>
  <si>
    <t>PSI</t>
  </si>
  <si>
    <t>Estimated Match Extensions</t>
  </si>
  <si>
    <t>Estimated Match Retractions</t>
  </si>
  <si>
    <t>Clamp</t>
  </si>
  <si>
    <t>Arm</t>
  </si>
  <si>
    <t>Shifter</t>
  </si>
  <si>
    <t>Extension Force</t>
  </si>
  <si>
    <t>Retraction Force</t>
  </si>
  <si>
    <t>Extension Air Usage</t>
  </si>
  <si>
    <t>Retraction Air Usage</t>
  </si>
  <si>
    <t>Cubic Inches</t>
  </si>
  <si>
    <t>Total Extension Force</t>
  </si>
  <si>
    <t>Total Retraction Force</t>
  </si>
  <si>
    <t>Storage Tank  Pressure</t>
  </si>
  <si>
    <t>Storage Tank Size</t>
  </si>
  <si>
    <t>ml</t>
  </si>
  <si>
    <t>Tanks Needed to Complete Match</t>
  </si>
  <si>
    <t>Blank</t>
  </si>
  <si>
    <t>Extension Adjusted Air Usage</t>
  </si>
  <si>
    <t>Retraction Adjusted Air Usage</t>
  </si>
  <si>
    <t>Tanks Used</t>
  </si>
  <si>
    <t>Tank Margin</t>
  </si>
  <si>
    <t>Minimum Tank Pressure</t>
  </si>
  <si>
    <t>Pitch</t>
  </si>
  <si>
    <t>Center Distance</t>
  </si>
  <si>
    <t>Drive</t>
  </si>
  <si>
    <t>Percent of weight on chain driven wheels</t>
  </si>
  <si>
    <t>Pound</t>
  </si>
  <si>
    <t>Volt</t>
  </si>
  <si>
    <t>Volt/Amp</t>
  </si>
  <si>
    <t>Inch</t>
  </si>
  <si>
    <t>Sec</t>
  </si>
  <si>
    <t>BB RS-550-12</t>
  </si>
  <si>
    <t>Center 2 Drop
Chain Driven
8 Wheels</t>
  </si>
  <si>
    <t>Minimum System Voltage</t>
  </si>
  <si>
    <t>Load</t>
  </si>
  <si>
    <t>Loaded Current Per Motor</t>
  </si>
  <si>
    <t>Loaded Total Current</t>
  </si>
  <si>
    <t>Loaded Rotational Speed</t>
  </si>
  <si>
    <t>Degree/Sec</t>
  </si>
  <si>
    <t>Stall Load</t>
  </si>
  <si>
    <t xml:space="preserve"> Free Rotational Speed</t>
  </si>
  <si>
    <t>Mechanism Sprocket/Pulley Pitch Diameter</t>
  </si>
  <si>
    <t>Arm Length / Intake Pulley Radius / Wheel Radius</t>
  </si>
  <si>
    <t>Elevator</t>
  </si>
  <si>
    <t>Travel Distance</t>
  </si>
  <si>
    <t>Time for Travel Distance</t>
  </si>
  <si>
    <t>Second</t>
  </si>
  <si>
    <t>Linear</t>
  </si>
  <si>
    <t>Loaded Speed</t>
  </si>
  <si>
    <t>Loaded Time for Travel Distance</t>
  </si>
  <si>
    <r>
      <t>Loaded 90</t>
    </r>
    <r>
      <rPr>
        <sz val="11"/>
        <color theme="1"/>
        <rFont val="Calibri"/>
        <family val="2"/>
      </rPr>
      <t>° Rotational Travel Time</t>
    </r>
  </si>
  <si>
    <t>Mechanism Efficiency</t>
  </si>
  <si>
    <t>Intake</t>
  </si>
  <si>
    <t>Number of Chains/Belts Driving Mechanism</t>
  </si>
  <si>
    <t>Shooter</t>
  </si>
  <si>
    <t>Intake Rotation</t>
  </si>
  <si>
    <t>Intake Roller</t>
  </si>
  <si>
    <r>
      <t>Free 90</t>
    </r>
    <r>
      <rPr>
        <sz val="11"/>
        <color theme="1"/>
        <rFont val="Calibri"/>
        <family val="2"/>
      </rPr>
      <t>° Rotational Travel Time</t>
    </r>
  </si>
  <si>
    <t>Type</t>
  </si>
  <si>
    <t>Loaded Gearbox Chain/Belt Tension</t>
  </si>
  <si>
    <t>Loaded Mechanism Chain/Belt Tension</t>
  </si>
  <si>
    <t>Max Chain/Belt Tension @ Minimum Voltage</t>
  </si>
  <si>
    <t>Wheel Chain/Belt Resistance</t>
  </si>
  <si>
    <t>Robot Lift</t>
  </si>
  <si>
    <t>#35 Chain (+.005)</t>
  </si>
  <si>
    <t>#25 Chain (+.015)</t>
  </si>
  <si>
    <t>Sprocket/Pulley #1</t>
  </si>
  <si>
    <t>Sprocket/Pulley #2</t>
  </si>
  <si>
    <t>Links or Teeth</t>
  </si>
  <si>
    <t>Total Links or Teeth</t>
  </si>
  <si>
    <t>Inches per (Link or Tooth)</t>
  </si>
  <si>
    <t>Millimeters</t>
  </si>
  <si>
    <t>Chain/Belt Pitch</t>
  </si>
  <si>
    <t>Revision</t>
  </si>
  <si>
    <t>Date</t>
  </si>
  <si>
    <t>Listed Changes</t>
  </si>
  <si>
    <t>No Changes
Document Released</t>
  </si>
  <si>
    <t>The following are references used for this calculator:</t>
  </si>
  <si>
    <t>JVN Design Calculator - JVN</t>
  </si>
  <si>
    <t>CD White Paper:</t>
  </si>
  <si>
    <t>Website:</t>
  </si>
  <si>
    <t>FRC Calculator</t>
  </si>
  <si>
    <t>Red highlighted cells indicate insufficient system parameters.</t>
  </si>
  <si>
    <t>etc.</t>
  </si>
  <si>
    <t>Pneumatics</t>
  </si>
  <si>
    <t>Mechanisms</t>
  </si>
  <si>
    <t>Belt - Chain Center Distance</t>
  </si>
  <si>
    <t>Can be used for chains or belts.</t>
  </si>
  <si>
    <t>Data</t>
  </si>
  <si>
    <t>Stores information used for calculations.</t>
  </si>
  <si>
    <r>
      <rPr>
        <b/>
        <sz val="11"/>
        <color theme="1"/>
        <rFont val="Calibri"/>
        <family val="2"/>
        <scheme val="minor"/>
      </rPr>
      <t>Brownout</t>
    </r>
    <r>
      <rPr>
        <sz val="11"/>
        <color theme="1"/>
        <rFont val="Calibri"/>
        <family val="2"/>
        <scheme val="minor"/>
      </rPr>
      <t xml:space="preserve"> conditions set for RoboRio</t>
    </r>
  </si>
  <si>
    <t>Green highlighted cells indicate sufficient system parameters.</t>
  </si>
  <si>
    <t>Yellow highlighted cells indicate caution, system parameters meet requirements but require attention.</t>
  </si>
  <si>
    <t>FOS tipping point is around 1.0.</t>
  </si>
  <si>
    <t>Greater than 1.0 indicates a sufficient system.</t>
  </si>
  <si>
    <t>As systems are learned out, the FOS desired may change based on the known volatility.</t>
  </si>
  <si>
    <r>
      <rPr>
        <b/>
        <sz val="11"/>
        <color theme="1"/>
        <rFont val="Calibri"/>
        <family val="2"/>
        <scheme val="minor"/>
      </rPr>
      <t>Turning</t>
    </r>
    <r>
      <rPr>
        <sz val="11"/>
        <color theme="1"/>
        <rFont val="Calibri"/>
        <family val="2"/>
        <scheme val="minor"/>
      </rPr>
      <t xml:space="preserve"> calculations assume each side of the drive has all the wheels connected via power transmission.</t>
    </r>
  </si>
  <si>
    <t>For independently powered wheels, different turning calculations must be used.</t>
  </si>
  <si>
    <r>
      <rPr>
        <b/>
        <sz val="11"/>
        <color theme="1"/>
        <rFont val="Calibri"/>
        <family val="2"/>
        <scheme val="minor"/>
      </rPr>
      <t>Pushing</t>
    </r>
    <r>
      <rPr>
        <sz val="11"/>
        <color theme="1"/>
        <rFont val="Calibri"/>
        <family val="2"/>
        <scheme val="minor"/>
      </rPr>
      <t xml:space="preserve"> calculations are based on pushing against a stationary object.</t>
    </r>
  </si>
  <si>
    <r>
      <rPr>
        <b/>
        <sz val="11"/>
        <color theme="1"/>
        <rFont val="Calibri"/>
        <family val="2"/>
        <scheme val="minor"/>
      </rPr>
      <t>Percent weight on chain/belt driven wheels</t>
    </r>
    <r>
      <rPr>
        <sz val="11"/>
        <color theme="1"/>
        <rFont val="Calibri"/>
        <family val="2"/>
        <scheme val="minor"/>
      </rPr>
      <t xml:space="preserve"> helps determine size of chain/belt needed, depends on center of gravity and power transmission arrangement.</t>
    </r>
  </si>
  <si>
    <t>If unknown, set at 100% for worst case scenario.</t>
  </si>
  <si>
    <t>Example: 100% may be used to simulate rocking on two wheels.</t>
  </si>
  <si>
    <t>Example: Less than 50% may be used if 6 wheel drive drop center robot has center wheel direct driven from gearbox.</t>
  </si>
  <si>
    <r>
      <rPr>
        <b/>
        <sz val="11"/>
        <color theme="1"/>
        <rFont val="Calibri"/>
        <family val="2"/>
        <scheme val="minor"/>
      </rPr>
      <t>Number of wheels contacting the ground</t>
    </r>
    <r>
      <rPr>
        <sz val="11"/>
        <color theme="1"/>
        <rFont val="Calibri"/>
        <family val="2"/>
        <scheme val="minor"/>
      </rPr>
      <t xml:space="preserve"> assumes that the number entered here are the only wheels touching the ground.</t>
    </r>
  </si>
  <si>
    <t>If unknown, set at 4 for worst case scenario.</t>
  </si>
  <si>
    <t>A drop center wheel configuration may be required to ensure only the stated number of wheels are contacting the ground.</t>
  </si>
  <si>
    <t>If 6 or more wheels are contacting the ground, use 6.  The integration of more wheels defaults back to the weight distribution of 6 wheels.</t>
  </si>
  <si>
    <t>Example: 4 may be used for a 6 wheel drop center configuration.</t>
  </si>
  <si>
    <t>Example: 6 may be used for a 6 wheel no drop configuration.</t>
  </si>
  <si>
    <t>Example: 6 may be used for a 10 wheel no drop configuration.</t>
  </si>
  <si>
    <r>
      <rPr>
        <b/>
        <sz val="11"/>
        <color theme="1"/>
        <rFont val="Calibri"/>
        <family val="2"/>
        <scheme val="minor"/>
      </rPr>
      <t>Center of Mass from Center of Wheel Base</t>
    </r>
    <r>
      <rPr>
        <sz val="11"/>
        <color theme="1"/>
        <rFont val="Calibri"/>
        <family val="2"/>
        <scheme val="minor"/>
      </rPr>
      <t xml:space="preserve"> is the location of center of mass from the wheels contacting the ground.</t>
    </r>
  </si>
  <si>
    <t>If unknown, set at 0 for worst case scenario.</t>
  </si>
  <si>
    <t>Example: An 8 wheel drive robot with perfect center of mass would leave this at 0.</t>
  </si>
  <si>
    <t>Example: A 6 wheel drive drop center with perfect center of mass would set this at (Wheel Base / 2).</t>
  </si>
  <si>
    <t>Example: A 6 wheel drive drop center with center of mass 2 inches away from the center would set this at (Wheel Base / 2) - 2 inches.</t>
  </si>
  <si>
    <r>
      <rPr>
        <b/>
        <sz val="11"/>
        <color theme="1"/>
        <rFont val="Calibri"/>
        <family val="2"/>
        <scheme val="minor"/>
      </rPr>
      <t>Voltage drop</t>
    </r>
    <r>
      <rPr>
        <sz val="11"/>
        <color theme="1"/>
        <rFont val="Calibri"/>
        <family val="2"/>
        <scheme val="minor"/>
      </rPr>
      <t xml:space="preserve"> may vary from system to system depending on battery condition and system resistance.</t>
    </r>
  </si>
  <si>
    <t>Used to design the following mechanisms:</t>
  </si>
  <si>
    <t>Since the calculations can be used for arm movement, pulley or wheel size must be the radius, not the diameter.</t>
  </si>
  <si>
    <t>Calculates force and air use for pneumatic cylinders.</t>
  </si>
  <si>
    <t>Total air usage and storage calculations included.</t>
  </si>
  <si>
    <t>Calculates center distance between two sprockets or pulleys.</t>
  </si>
  <si>
    <t>Various cells have different conditional formatting, these are to indicate sufficient, cautious, or insufficient systems.</t>
  </si>
  <si>
    <t>The formatting is a visual aid to help process the system condition quickly.</t>
  </si>
  <si>
    <t>Example: 4 may be used for an 8 wheel, 4 wheel drop center configuration.</t>
  </si>
  <si>
    <t>Systems</t>
  </si>
  <si>
    <t>The systems have been organized into columns for better iteration and comparison.</t>
  </si>
  <si>
    <t>All columns can be copied and pasted to expand the spreadsheets.</t>
  </si>
  <si>
    <t>Center of Mass is also assumed to be in the middle of the track width.</t>
  </si>
  <si>
    <t>See Center of Mass from Center of Wheel Base to account for the Center of Mass location.</t>
  </si>
  <si>
    <t>See Lcy variable in Chris Hibner's "Drivetrain Basics".</t>
  </si>
  <si>
    <t>Data Sheet:</t>
  </si>
  <si>
    <t>Series 180 Hi-Amp Bussmann</t>
  </si>
  <si>
    <t>MAXI Circuit Breakers Model MX5</t>
  </si>
  <si>
    <t>Gates Synchronous Belt Data Summary (Belt Tensile Properties)</t>
  </si>
  <si>
    <t>Voltage calculated from a pushing condition.</t>
  </si>
  <si>
    <t>Reynold Jeffery ANSI Standard Roller Chain</t>
  </si>
  <si>
    <r>
      <rPr>
        <b/>
        <sz val="11"/>
        <color theme="1"/>
        <rFont val="Calibri"/>
        <family val="2"/>
        <scheme val="minor"/>
      </rPr>
      <t>Chain and Belt FOS</t>
    </r>
    <r>
      <rPr>
        <sz val="11"/>
        <color theme="1"/>
        <rFont val="Calibri"/>
        <family val="2"/>
        <scheme val="minor"/>
      </rPr>
      <t xml:space="preserve"> calculated from a pushing condition.</t>
    </r>
  </si>
  <si>
    <t>Vex Robotics DC Motor Testing</t>
  </si>
  <si>
    <t>Skid-Steer Turning Analysis - Ether</t>
  </si>
  <si>
    <t>Drive Train Basics - Chris Hibner</t>
  </si>
  <si>
    <t>Inputs and Calculations</t>
  </si>
  <si>
    <t>All inputs are colored white.</t>
  </si>
  <si>
    <t>All calculations are colored grey.</t>
  </si>
  <si>
    <t>This document is mainly an extension of the JVN Design Calculator.</t>
  </si>
  <si>
    <t>Please use the calculations at your own discretion, it is recommended that all systems are tested.</t>
  </si>
  <si>
    <t>Conditional Formatting</t>
  </si>
  <si>
    <t>Factor of Safety (FOS)</t>
  </si>
  <si>
    <t>Less than 1.0 indicates an insufficient system.</t>
  </si>
  <si>
    <t>Typically a FOS greater than 2.0 is desired; this is to account for system volatility that is not captured in the calculations.</t>
  </si>
  <si>
    <t>Tank Drive</t>
  </si>
  <si>
    <t>Linear movement (elevator, lift)</t>
  </si>
  <si>
    <t>Useful Calculations - Paul Copioli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</si>
</sst>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" fontId="19" fillId="0" borderId="10" xfId="0" applyNumberFormat="1" applyFont="1" applyFill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/>
    </xf>
    <xf numFmtId="2" fontId="20" fillId="0" borderId="10" xfId="0" applyNumberFormat="1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center" vertical="center" wrapText="1"/>
    </xf>
    <xf numFmtId="2" fontId="19" fillId="0" borderId="10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Border="1" applyAlignment="1">
      <alignment horizontal="right"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2" fontId="18" fillId="0" borderId="0" xfId="0" applyNumberFormat="1" applyFont="1" applyFill="1" applyBorder="1" applyAlignment="1">
      <alignment horizontal="right" vertical="center" wrapText="1"/>
    </xf>
    <xf numFmtId="2" fontId="18" fillId="0" borderId="0" xfId="0" applyNumberFormat="1" applyFont="1" applyBorder="1" applyAlignment="1">
      <alignment horizontal="center" vertical="center" wrapText="1"/>
    </xf>
    <xf numFmtId="0" fontId="0" fillId="0" borderId="0" xfId="0"/>
    <xf numFmtId="9" fontId="0" fillId="0" borderId="0" xfId="1" applyFont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ont="1" applyFill="1" applyBorder="1" applyAlignment="1"/>
    <xf numFmtId="2" fontId="0" fillId="0" borderId="0" xfId="0" applyNumberFormat="1"/>
    <xf numFmtId="0" fontId="0" fillId="33" borderId="14" xfId="0" applyFill="1" applyBorder="1" applyAlignment="1">
      <alignment horizontal="right"/>
    </xf>
    <xf numFmtId="0" fontId="0" fillId="33" borderId="15" xfId="0" applyFill="1" applyBorder="1" applyAlignment="1">
      <alignment horizontal="center"/>
    </xf>
    <xf numFmtId="0" fontId="0" fillId="33" borderId="16" xfId="0" applyFill="1" applyBorder="1" applyAlignment="1">
      <alignment horizontal="right"/>
    </xf>
    <xf numFmtId="0" fontId="0" fillId="33" borderId="17" xfId="0" applyFill="1" applyBorder="1" applyAlignment="1">
      <alignment horizontal="center"/>
    </xf>
    <xf numFmtId="0" fontId="0" fillId="34" borderId="14" xfId="0" applyFill="1" applyBorder="1" applyAlignment="1">
      <alignment horizontal="right"/>
    </xf>
    <xf numFmtId="0" fontId="0" fillId="34" borderId="15" xfId="0" applyFill="1" applyBorder="1" applyAlignment="1">
      <alignment horizontal="center"/>
    </xf>
    <xf numFmtId="0" fontId="22" fillId="34" borderId="15" xfId="0" applyFont="1" applyFill="1" applyBorder="1" applyAlignment="1">
      <alignment horizontal="center"/>
    </xf>
    <xf numFmtId="0" fontId="0" fillId="34" borderId="16" xfId="0" applyFill="1" applyBorder="1" applyAlignment="1">
      <alignment horizontal="right"/>
    </xf>
    <xf numFmtId="0" fontId="0" fillId="34" borderId="17" xfId="0" applyFill="1" applyBorder="1" applyAlignment="1">
      <alignment horizontal="center"/>
    </xf>
    <xf numFmtId="2" fontId="0" fillId="35" borderId="10" xfId="0" applyNumberFormat="1" applyFill="1" applyBorder="1" applyAlignment="1">
      <alignment horizontal="center"/>
    </xf>
    <xf numFmtId="165" fontId="0" fillId="35" borderId="10" xfId="0" applyNumberFormat="1" applyFill="1" applyBorder="1" applyAlignment="1">
      <alignment horizontal="center"/>
    </xf>
    <xf numFmtId="1" fontId="0" fillId="35" borderId="10" xfId="0" applyNumberFormat="1" applyFill="1" applyBorder="1" applyAlignment="1">
      <alignment horizontal="center"/>
    </xf>
    <xf numFmtId="9" fontId="0" fillId="35" borderId="10" xfId="1" applyFont="1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2" fontId="0" fillId="35" borderId="13" xfId="0" applyNumberFormat="1" applyFill="1" applyBorder="1" applyAlignment="1">
      <alignment horizontal="center"/>
    </xf>
    <xf numFmtId="9" fontId="0" fillId="35" borderId="13" xfId="1" applyFont="1" applyFill="1" applyBorder="1" applyAlignment="1">
      <alignment horizontal="center"/>
    </xf>
    <xf numFmtId="165" fontId="0" fillId="35" borderId="13" xfId="0" applyNumberFormat="1" applyFill="1" applyBorder="1" applyAlignment="1">
      <alignment horizontal="center"/>
    </xf>
    <xf numFmtId="0" fontId="0" fillId="35" borderId="13" xfId="0" applyFill="1" applyBorder="1" applyAlignment="1">
      <alignment horizontal="center"/>
    </xf>
    <xf numFmtId="2" fontId="0" fillId="35" borderId="13" xfId="1" applyNumberFormat="1" applyFont="1" applyFill="1" applyBorder="1" applyAlignment="1">
      <alignment horizontal="center"/>
    </xf>
    <xf numFmtId="164" fontId="0" fillId="35" borderId="10" xfId="0" applyNumberForma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9" fontId="0" fillId="0" borderId="13" xfId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35" borderId="13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64" fontId="0" fillId="35" borderId="13" xfId="0" applyNumberFormat="1" applyFill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0" fontId="0" fillId="33" borderId="16" xfId="0" applyFill="1" applyBorder="1" applyAlignment="1">
      <alignment horizontal="center"/>
    </xf>
    <xf numFmtId="166" fontId="0" fillId="35" borderId="17" xfId="0" applyNumberFormat="1" applyFill="1" applyBorder="1" applyAlignment="1">
      <alignment horizontal="center"/>
    </xf>
    <xf numFmtId="0" fontId="0" fillId="34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right"/>
    </xf>
    <xf numFmtId="164" fontId="0" fillId="35" borderId="24" xfId="0" applyNumberFormat="1" applyFill="1" applyBorder="1" applyAlignment="1">
      <alignment horizontal="center"/>
    </xf>
    <xf numFmtId="0" fontId="21" fillId="33" borderId="11" xfId="0" applyFont="1" applyFill="1" applyBorder="1" applyAlignment="1">
      <alignment horizontal="center"/>
    </xf>
    <xf numFmtId="0" fontId="21" fillId="33" borderId="12" xfId="0" applyFont="1" applyFill="1" applyBorder="1" applyAlignment="1">
      <alignment horizontal="center"/>
    </xf>
    <xf numFmtId="0" fontId="21" fillId="34" borderId="18" xfId="0" applyFont="1" applyFill="1" applyBorder="1" applyAlignment="1">
      <alignment horizontal="center" vertical="center"/>
    </xf>
    <xf numFmtId="0" fontId="21" fillId="34" borderId="19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/>
    </xf>
    <xf numFmtId="0" fontId="21" fillId="33" borderId="15" xfId="0" applyFont="1" applyFill="1" applyBorder="1" applyAlignment="1">
      <alignment horizontal="center"/>
    </xf>
    <xf numFmtId="0" fontId="21" fillId="34" borderId="18" xfId="0" applyFont="1" applyFill="1" applyBorder="1" applyAlignment="1">
      <alignment horizontal="center"/>
    </xf>
    <xf numFmtId="0" fontId="21" fillId="34" borderId="19" xfId="0" applyFont="1" applyFill="1" applyBorder="1" applyAlignment="1">
      <alignment horizontal="center"/>
    </xf>
    <xf numFmtId="0" fontId="21" fillId="34" borderId="20" xfId="0" applyFont="1" applyFill="1" applyBorder="1" applyAlignment="1">
      <alignment horizontal="center"/>
    </xf>
    <xf numFmtId="0" fontId="21" fillId="34" borderId="21" xfId="0" applyFont="1" applyFill="1" applyBorder="1" applyAlignment="1">
      <alignment horizontal="center"/>
    </xf>
    <xf numFmtId="0" fontId="21" fillId="35" borderId="10" xfId="0" applyFont="1" applyFill="1" applyBorder="1" applyAlignment="1">
      <alignment horizontal="center"/>
    </xf>
    <xf numFmtId="0" fontId="21" fillId="35" borderId="10" xfId="0" applyFont="1" applyFill="1" applyBorder="1"/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/>
    </xf>
    <xf numFmtId="0" fontId="23" fillId="0" borderId="0" xfId="0" applyFont="1"/>
    <xf numFmtId="0" fontId="21" fillId="0" borderId="0" xfId="0" applyFont="1"/>
    <xf numFmtId="0" fontId="0" fillId="0" borderId="13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1" builtinId="5"/>
    <cellStyle name="Title 2" xfId="42"/>
    <cellStyle name="Total" xfId="17" builtinId="25" customBuiltin="1"/>
    <cellStyle name="Warning Text" xfId="14" builtinId="11" customBuiltin="1"/>
  </cellStyles>
  <dxfs count="3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Data!$D$22</c:f>
              <c:strCache>
                <c:ptCount val="1"/>
                <c:pt idx="0">
                  <c:v>Max Sec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9.5362093822779201E-2"/>
                  <c:y val="-0.3950447860684080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Data!$B$23:$B$29</c:f>
              <c:numCache>
                <c:formatCode>General</c:formatCode>
                <c:ptCount val="7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160</c:v>
                </c:pt>
                <c:pt idx="6">
                  <c:v>200</c:v>
                </c:pt>
              </c:numCache>
            </c:numRef>
          </c:xVal>
          <c:yVal>
            <c:numRef>
              <c:f>Data!$D$23:$D$29</c:f>
              <c:numCache>
                <c:formatCode>General</c:formatCode>
                <c:ptCount val="7"/>
                <c:pt idx="0">
                  <c:v>47</c:v>
                </c:pt>
                <c:pt idx="1">
                  <c:v>9.1999999999999993</c:v>
                </c:pt>
                <c:pt idx="2">
                  <c:v>3.9</c:v>
                </c:pt>
                <c:pt idx="3">
                  <c:v>1.8</c:v>
                </c:pt>
                <c:pt idx="4">
                  <c:v>1.1000000000000001</c:v>
                </c:pt>
                <c:pt idx="5">
                  <c:v>0.6</c:v>
                </c:pt>
                <c:pt idx="6">
                  <c:v>0.3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079104"/>
        <c:axId val="183078712"/>
      </c:scatterChart>
      <c:valAx>
        <c:axId val="18307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078712"/>
        <c:crosses val="autoZero"/>
        <c:crossBetween val="midCat"/>
      </c:valAx>
      <c:valAx>
        <c:axId val="183078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0791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Data!$C$46</c:f>
              <c:strCache>
                <c:ptCount val="1"/>
                <c:pt idx="0">
                  <c:v>Min Sec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3.0205935796487011E-2"/>
                  <c:y val="-0.3951510714129213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Data!$B$47:$B$53</c:f>
              <c:numCache>
                <c:formatCode>General</c:formatCode>
                <c:ptCount val="7"/>
                <c:pt idx="0">
                  <c:v>180</c:v>
                </c:pt>
                <c:pt idx="1">
                  <c:v>210</c:v>
                </c:pt>
                <c:pt idx="2">
                  <c:v>240</c:v>
                </c:pt>
                <c:pt idx="3">
                  <c:v>300</c:v>
                </c:pt>
                <c:pt idx="4">
                  <c:v>360</c:v>
                </c:pt>
                <c:pt idx="5">
                  <c:v>480</c:v>
                </c:pt>
                <c:pt idx="6">
                  <c:v>600</c:v>
                </c:pt>
              </c:numCache>
            </c:numRef>
          </c:xVal>
          <c:yVal>
            <c:numRef>
              <c:f>Data!$C$47:$C$53</c:f>
              <c:numCache>
                <c:formatCode>General</c:formatCode>
                <c:ptCount val="7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7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367248"/>
        <c:axId val="553367640"/>
      </c:scatterChart>
      <c:valAx>
        <c:axId val="553367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367640"/>
        <c:crosses val="autoZero"/>
        <c:crossBetween val="midCat"/>
      </c:valAx>
      <c:valAx>
        <c:axId val="553367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367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Data!$D$46</c:f>
              <c:strCache>
                <c:ptCount val="1"/>
                <c:pt idx="0">
                  <c:v>Max Sec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3.50115463034932E-2"/>
                  <c:y val="-0.388870486016834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Data!$B$47:$B$53</c:f>
              <c:numCache>
                <c:formatCode>General</c:formatCode>
                <c:ptCount val="7"/>
                <c:pt idx="0">
                  <c:v>180</c:v>
                </c:pt>
                <c:pt idx="1">
                  <c:v>210</c:v>
                </c:pt>
                <c:pt idx="2">
                  <c:v>240</c:v>
                </c:pt>
                <c:pt idx="3">
                  <c:v>300</c:v>
                </c:pt>
                <c:pt idx="4">
                  <c:v>360</c:v>
                </c:pt>
                <c:pt idx="5">
                  <c:v>480</c:v>
                </c:pt>
                <c:pt idx="6">
                  <c:v>600</c:v>
                </c:pt>
              </c:numCache>
            </c:numRef>
          </c:xVal>
          <c:yVal>
            <c:numRef>
              <c:f>Data!$D$47:$D$53</c:f>
              <c:numCache>
                <c:formatCode>General</c:formatCode>
                <c:ptCount val="7"/>
                <c:pt idx="0">
                  <c:v>150</c:v>
                </c:pt>
                <c:pt idx="1">
                  <c:v>75</c:v>
                </c:pt>
                <c:pt idx="2">
                  <c:v>38</c:v>
                </c:pt>
                <c:pt idx="3">
                  <c:v>18</c:v>
                </c:pt>
                <c:pt idx="4">
                  <c:v>12</c:v>
                </c:pt>
                <c:pt idx="5">
                  <c:v>6</c:v>
                </c:pt>
                <c:pt idx="6">
                  <c:v>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3368424"/>
        <c:axId val="512551040"/>
      </c:scatterChart>
      <c:valAx>
        <c:axId val="553368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551040"/>
        <c:crosses val="autoZero"/>
        <c:crossBetween val="midCat"/>
      </c:valAx>
      <c:valAx>
        <c:axId val="51255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368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Data!$C$22</c:f>
              <c:strCache>
                <c:ptCount val="1"/>
                <c:pt idx="0">
                  <c:v>Min Sec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8.2836908317494948E-2"/>
                  <c:y val="-0.4401212639117784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Data!$B$23:$B$29</c:f>
              <c:numCache>
                <c:formatCode>General</c:formatCode>
                <c:ptCount val="7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100</c:v>
                </c:pt>
                <c:pt idx="4">
                  <c:v>120</c:v>
                </c:pt>
                <c:pt idx="5">
                  <c:v>160</c:v>
                </c:pt>
                <c:pt idx="6">
                  <c:v>200</c:v>
                </c:pt>
              </c:numCache>
            </c:numRef>
          </c:xVal>
          <c:yVal>
            <c:numRef>
              <c:f>Data!$C$23:$C$29</c:f>
              <c:numCache>
                <c:formatCode>General</c:formatCode>
                <c:ptCount val="7"/>
                <c:pt idx="0">
                  <c:v>3.9</c:v>
                </c:pt>
                <c:pt idx="1">
                  <c:v>2.2000000000000002</c:v>
                </c:pt>
                <c:pt idx="2">
                  <c:v>1.5</c:v>
                </c:pt>
                <c:pt idx="3">
                  <c:v>0.8</c:v>
                </c:pt>
                <c:pt idx="4">
                  <c:v>0.5</c:v>
                </c:pt>
                <c:pt idx="5">
                  <c:v>0.3</c:v>
                </c:pt>
                <c:pt idx="6">
                  <c:v>0.2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2551824"/>
        <c:axId val="512552216"/>
      </c:scatterChart>
      <c:valAx>
        <c:axId val="512551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552216"/>
        <c:crosses val="autoZero"/>
        <c:crossBetween val="midCat"/>
      </c:valAx>
      <c:valAx>
        <c:axId val="512552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551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466725</xdr:colOff>
      <xdr:row>21</xdr:row>
      <xdr:rowOff>19050</xdr:rowOff>
    </xdr:from>
    <xdr:to>
      <xdr:col>7</xdr:col>
      <xdr:colOff>469874</xdr:colOff>
      <xdr:row>33</xdr:row>
      <xdr:rowOff>28575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05325" y="6791325"/>
          <a:ext cx="2289149" cy="2295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533400</xdr:colOff>
      <xdr:row>41</xdr:row>
      <xdr:rowOff>123826</xdr:rowOff>
    </xdr:from>
    <xdr:to>
      <xdr:col>8</xdr:col>
      <xdr:colOff>127270</xdr:colOff>
      <xdr:row>58</xdr:row>
      <xdr:rowOff>28576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72000" y="10706101"/>
          <a:ext cx="2565670" cy="3143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19050</xdr:colOff>
      <xdr:row>38</xdr:row>
      <xdr:rowOff>85725</xdr:rowOff>
    </xdr:from>
    <xdr:to>
      <xdr:col>4</xdr:col>
      <xdr:colOff>533400</xdr:colOff>
      <xdr:row>44</xdr:row>
      <xdr:rowOff>142875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56</xdr:row>
      <xdr:rowOff>9525</xdr:rowOff>
    </xdr:from>
    <xdr:to>
      <xdr:col>4</xdr:col>
      <xdr:colOff>600075</xdr:colOff>
      <xdr:row>61</xdr:row>
      <xdr:rowOff>152401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62</xdr:row>
      <xdr:rowOff>123825</xdr:rowOff>
    </xdr:from>
    <xdr:to>
      <xdr:col>4</xdr:col>
      <xdr:colOff>609600</xdr:colOff>
      <xdr:row>68</xdr:row>
      <xdr:rowOff>85725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</xdr:colOff>
      <xdr:row>31</xdr:row>
      <xdr:rowOff>114300</xdr:rowOff>
    </xdr:from>
    <xdr:to>
      <xdr:col>4</xdr:col>
      <xdr:colOff>533400</xdr:colOff>
      <xdr:row>38</xdr:row>
      <xdr:rowOff>9525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266700</xdr:colOff>
      <xdr:row>70</xdr:row>
      <xdr:rowOff>133350</xdr:rowOff>
    </xdr:from>
    <xdr:to>
      <xdr:col>5</xdr:col>
      <xdr:colOff>590550</xdr:colOff>
      <xdr:row>84</xdr:row>
      <xdr:rowOff>123825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66700" y="15859125"/>
          <a:ext cx="4533900" cy="26574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8"/>
  <sheetViews>
    <sheetView showGridLines="0" tabSelected="1" workbookViewId="0">
      <selection activeCell="B3" sqref="B3"/>
    </sheetView>
  </sheetViews>
  <sheetFormatPr defaultRowHeight="15" x14ac:dyDescent="0.25"/>
  <cols>
    <col min="1" max="1" width="1.42578125" customWidth="1"/>
  </cols>
  <sheetData>
    <row r="1" spans="2:4" ht="7.5" customHeight="1" x14ac:dyDescent="0.25"/>
    <row r="2" spans="2:4" s="13" customFormat="1" ht="15" customHeight="1" x14ac:dyDescent="0.25">
      <c r="B2" s="87" t="s">
        <v>180</v>
      </c>
    </row>
    <row r="3" spans="2:4" s="13" customFormat="1" ht="15" customHeight="1" x14ac:dyDescent="0.25"/>
    <row r="4" spans="2:4" s="13" customFormat="1" ht="15" customHeight="1" x14ac:dyDescent="0.25">
      <c r="B4" s="13" t="s">
        <v>243</v>
      </c>
    </row>
    <row r="5" spans="2:4" x14ac:dyDescent="0.25">
      <c r="B5" t="s">
        <v>242</v>
      </c>
    </row>
    <row r="6" spans="2:4" s="13" customFormat="1" x14ac:dyDescent="0.25"/>
    <row r="7" spans="2:4" x14ac:dyDescent="0.25">
      <c r="B7" t="s">
        <v>176</v>
      </c>
    </row>
    <row r="9" spans="2:4" x14ac:dyDescent="0.25">
      <c r="C9" s="1" t="s">
        <v>178</v>
      </c>
      <c r="D9" t="s">
        <v>177</v>
      </c>
    </row>
    <row r="10" spans="2:4" x14ac:dyDescent="0.25">
      <c r="C10" s="1" t="s">
        <v>178</v>
      </c>
      <c r="D10" t="s">
        <v>250</v>
      </c>
    </row>
    <row r="11" spans="2:4" x14ac:dyDescent="0.25">
      <c r="C11" s="1" t="s">
        <v>178</v>
      </c>
      <c r="D11" t="s">
        <v>238</v>
      </c>
    </row>
    <row r="12" spans="2:4" x14ac:dyDescent="0.25">
      <c r="C12" s="1" t="s">
        <v>178</v>
      </c>
      <c r="D12" t="s">
        <v>237</v>
      </c>
    </row>
    <row r="13" spans="2:4" x14ac:dyDescent="0.25">
      <c r="C13" s="1" t="s">
        <v>179</v>
      </c>
      <c r="D13" t="s">
        <v>236</v>
      </c>
    </row>
    <row r="14" spans="2:4" x14ac:dyDescent="0.25">
      <c r="C14" s="1" t="s">
        <v>229</v>
      </c>
      <c r="D14" t="s">
        <v>230</v>
      </c>
    </row>
    <row r="15" spans="2:4" s="13" customFormat="1" x14ac:dyDescent="0.25">
      <c r="C15" s="1" t="s">
        <v>229</v>
      </c>
      <c r="D15" s="13" t="s">
        <v>231</v>
      </c>
    </row>
    <row r="16" spans="2:4" x14ac:dyDescent="0.25">
      <c r="C16" s="1" t="s">
        <v>229</v>
      </c>
      <c r="D16" t="s">
        <v>232</v>
      </c>
    </row>
    <row r="17" spans="2:4" s="13" customFormat="1" x14ac:dyDescent="0.25">
      <c r="C17" s="1" t="s">
        <v>229</v>
      </c>
      <c r="D17" s="13" t="s">
        <v>234</v>
      </c>
    </row>
    <row r="19" spans="2:4" s="13" customFormat="1" x14ac:dyDescent="0.25">
      <c r="B19" s="86" t="s">
        <v>223</v>
      </c>
    </row>
    <row r="20" spans="2:4" s="13" customFormat="1" x14ac:dyDescent="0.25">
      <c r="C20" t="s">
        <v>224</v>
      </c>
    </row>
    <row r="21" spans="2:4" s="13" customFormat="1" x14ac:dyDescent="0.25">
      <c r="C21" s="13" t="s">
        <v>225</v>
      </c>
    </row>
    <row r="22" spans="2:4" s="13" customFormat="1" x14ac:dyDescent="0.25"/>
    <row r="23" spans="2:4" s="13" customFormat="1" x14ac:dyDescent="0.25">
      <c r="B23" s="86" t="s">
        <v>239</v>
      </c>
    </row>
    <row r="24" spans="2:4" s="13" customFormat="1" x14ac:dyDescent="0.25">
      <c r="C24" s="13" t="s">
        <v>240</v>
      </c>
    </row>
    <row r="25" spans="2:4" s="13" customFormat="1" x14ac:dyDescent="0.25">
      <c r="C25" s="13" t="s">
        <v>241</v>
      </c>
    </row>
    <row r="26" spans="2:4" s="13" customFormat="1" x14ac:dyDescent="0.25"/>
    <row r="27" spans="2:4" x14ac:dyDescent="0.25">
      <c r="B27" s="86" t="s">
        <v>244</v>
      </c>
    </row>
    <row r="28" spans="2:4" x14ac:dyDescent="0.25">
      <c r="C28" s="85" t="s">
        <v>220</v>
      </c>
    </row>
    <row r="29" spans="2:4" s="13" customFormat="1" x14ac:dyDescent="0.25">
      <c r="D29" s="85" t="s">
        <v>221</v>
      </c>
    </row>
    <row r="30" spans="2:4" s="13" customFormat="1" x14ac:dyDescent="0.25">
      <c r="C30" s="85" t="s">
        <v>190</v>
      </c>
    </row>
    <row r="31" spans="2:4" s="13" customFormat="1" x14ac:dyDescent="0.25">
      <c r="C31" s="85" t="s">
        <v>191</v>
      </c>
    </row>
    <row r="32" spans="2:4" s="13" customFormat="1" x14ac:dyDescent="0.25">
      <c r="C32" s="85" t="s">
        <v>181</v>
      </c>
    </row>
    <row r="33" spans="2:4" s="13" customFormat="1" x14ac:dyDescent="0.25">
      <c r="C33" s="85"/>
    </row>
    <row r="34" spans="2:4" s="13" customFormat="1" x14ac:dyDescent="0.25">
      <c r="B34" s="86" t="s">
        <v>245</v>
      </c>
      <c r="C34" s="85"/>
    </row>
    <row r="35" spans="2:4" x14ac:dyDescent="0.25">
      <c r="C35" s="85" t="s">
        <v>192</v>
      </c>
    </row>
    <row r="36" spans="2:4" s="13" customFormat="1" x14ac:dyDescent="0.25">
      <c r="D36" s="85" t="s">
        <v>246</v>
      </c>
    </row>
    <row r="37" spans="2:4" s="13" customFormat="1" x14ac:dyDescent="0.25">
      <c r="D37" s="85" t="s">
        <v>193</v>
      </c>
    </row>
    <row r="38" spans="2:4" s="13" customFormat="1" x14ac:dyDescent="0.25">
      <c r="C38" s="85" t="s">
        <v>247</v>
      </c>
    </row>
    <row r="39" spans="2:4" s="13" customFormat="1" x14ac:dyDescent="0.25">
      <c r="C39" s="85"/>
      <c r="D39" s="13" t="s">
        <v>194</v>
      </c>
    </row>
    <row r="41" spans="2:4" x14ac:dyDescent="0.25">
      <c r="B41" s="86" t="s">
        <v>248</v>
      </c>
    </row>
    <row r="42" spans="2:4" x14ac:dyDescent="0.25">
      <c r="C42" s="85" t="s">
        <v>195</v>
      </c>
    </row>
    <row r="43" spans="2:4" s="13" customFormat="1" x14ac:dyDescent="0.25">
      <c r="C43" s="85"/>
      <c r="D43" s="13" t="s">
        <v>226</v>
      </c>
    </row>
    <row r="44" spans="2:4" s="13" customFormat="1" x14ac:dyDescent="0.25">
      <c r="C44" s="85"/>
      <c r="D44" s="13" t="s">
        <v>227</v>
      </c>
    </row>
    <row r="45" spans="2:4" s="13" customFormat="1" x14ac:dyDescent="0.25">
      <c r="C45" s="85"/>
      <c r="D45" s="13" t="s">
        <v>196</v>
      </c>
    </row>
    <row r="46" spans="2:4" s="13" customFormat="1" x14ac:dyDescent="0.25">
      <c r="C46" s="85" t="s">
        <v>197</v>
      </c>
    </row>
    <row r="47" spans="2:4" x14ac:dyDescent="0.25">
      <c r="C47" s="85" t="s">
        <v>198</v>
      </c>
    </row>
    <row r="48" spans="2:4" s="13" customFormat="1" x14ac:dyDescent="0.25">
      <c r="C48" s="85"/>
      <c r="D48" s="13" t="s">
        <v>199</v>
      </c>
    </row>
    <row r="49" spans="3:4" x14ac:dyDescent="0.25">
      <c r="C49" s="85"/>
      <c r="D49" t="s">
        <v>200</v>
      </c>
    </row>
    <row r="50" spans="3:4" x14ac:dyDescent="0.25">
      <c r="C50" s="85"/>
      <c r="D50" t="s">
        <v>201</v>
      </c>
    </row>
    <row r="51" spans="3:4" x14ac:dyDescent="0.25">
      <c r="C51" s="85" t="s">
        <v>202</v>
      </c>
    </row>
    <row r="52" spans="3:4" s="13" customFormat="1" x14ac:dyDescent="0.25">
      <c r="C52" s="85"/>
      <c r="D52" s="13" t="s">
        <v>203</v>
      </c>
    </row>
    <row r="53" spans="3:4" x14ac:dyDescent="0.25">
      <c r="C53" s="85"/>
      <c r="D53" t="s">
        <v>204</v>
      </c>
    </row>
    <row r="54" spans="3:4" x14ac:dyDescent="0.25">
      <c r="C54" s="85"/>
      <c r="D54" t="s">
        <v>205</v>
      </c>
    </row>
    <row r="55" spans="3:4" x14ac:dyDescent="0.25">
      <c r="C55" s="85"/>
      <c r="D55" t="s">
        <v>206</v>
      </c>
    </row>
    <row r="56" spans="3:4" x14ac:dyDescent="0.25">
      <c r="C56" s="85"/>
      <c r="D56" t="s">
        <v>222</v>
      </c>
    </row>
    <row r="57" spans="3:4" x14ac:dyDescent="0.25">
      <c r="C57" s="85"/>
      <c r="D57" t="s">
        <v>207</v>
      </c>
    </row>
    <row r="58" spans="3:4" x14ac:dyDescent="0.25">
      <c r="D58" t="s">
        <v>208</v>
      </c>
    </row>
    <row r="59" spans="3:4" x14ac:dyDescent="0.25">
      <c r="C59" t="s">
        <v>209</v>
      </c>
    </row>
    <row r="60" spans="3:4" s="13" customFormat="1" x14ac:dyDescent="0.25">
      <c r="D60" s="13" t="s">
        <v>210</v>
      </c>
    </row>
    <row r="61" spans="3:4" x14ac:dyDescent="0.25">
      <c r="D61" t="s">
        <v>211</v>
      </c>
    </row>
    <row r="62" spans="3:4" x14ac:dyDescent="0.25">
      <c r="D62" t="s">
        <v>212</v>
      </c>
    </row>
    <row r="63" spans="3:4" x14ac:dyDescent="0.25">
      <c r="D63" s="13" t="s">
        <v>213</v>
      </c>
    </row>
    <row r="64" spans="3:4" s="13" customFormat="1" x14ac:dyDescent="0.25">
      <c r="D64" s="13" t="s">
        <v>228</v>
      </c>
    </row>
    <row r="65" spans="2:4" x14ac:dyDescent="0.25">
      <c r="C65" t="s">
        <v>214</v>
      </c>
    </row>
    <row r="66" spans="2:4" x14ac:dyDescent="0.25">
      <c r="C66" t="s">
        <v>189</v>
      </c>
    </row>
    <row r="67" spans="2:4" s="13" customFormat="1" x14ac:dyDescent="0.25">
      <c r="D67" s="13" t="s">
        <v>233</v>
      </c>
    </row>
    <row r="68" spans="2:4" s="13" customFormat="1" x14ac:dyDescent="0.25">
      <c r="C68" s="13" t="s">
        <v>235</v>
      </c>
    </row>
    <row r="69" spans="2:4" s="13" customFormat="1" x14ac:dyDescent="0.25"/>
    <row r="70" spans="2:4" x14ac:dyDescent="0.25">
      <c r="B70" s="86" t="s">
        <v>184</v>
      </c>
    </row>
    <row r="71" spans="2:4" x14ac:dyDescent="0.25">
      <c r="C71" t="s">
        <v>215</v>
      </c>
    </row>
    <row r="72" spans="2:4" x14ac:dyDescent="0.25">
      <c r="D72" t="s">
        <v>102</v>
      </c>
    </row>
    <row r="73" spans="2:4" x14ac:dyDescent="0.25">
      <c r="D73" t="s">
        <v>249</v>
      </c>
    </row>
    <row r="74" spans="2:4" x14ac:dyDescent="0.25">
      <c r="D74" t="s">
        <v>151</v>
      </c>
    </row>
    <row r="75" spans="2:4" x14ac:dyDescent="0.25">
      <c r="D75" t="s">
        <v>153</v>
      </c>
    </row>
    <row r="76" spans="2:4" x14ac:dyDescent="0.25">
      <c r="D76" t="s">
        <v>182</v>
      </c>
    </row>
    <row r="77" spans="2:4" x14ac:dyDescent="0.25">
      <c r="C77" t="s">
        <v>216</v>
      </c>
    </row>
    <row r="79" spans="2:4" x14ac:dyDescent="0.25">
      <c r="B79" s="86" t="s">
        <v>183</v>
      </c>
    </row>
    <row r="80" spans="2:4" x14ac:dyDescent="0.25">
      <c r="C80" t="s">
        <v>217</v>
      </c>
    </row>
    <row r="81" spans="2:3" x14ac:dyDescent="0.25">
      <c r="C81" t="s">
        <v>218</v>
      </c>
    </row>
    <row r="83" spans="2:3" x14ac:dyDescent="0.25">
      <c r="B83" s="86" t="s">
        <v>185</v>
      </c>
    </row>
    <row r="84" spans="2:3" x14ac:dyDescent="0.25">
      <c r="C84" t="s">
        <v>219</v>
      </c>
    </row>
    <row r="85" spans="2:3" x14ac:dyDescent="0.25">
      <c r="C85" t="s">
        <v>186</v>
      </c>
    </row>
    <row r="87" spans="2:3" x14ac:dyDescent="0.25">
      <c r="B87" s="86" t="s">
        <v>187</v>
      </c>
    </row>
    <row r="88" spans="2:3" x14ac:dyDescent="0.25">
      <c r="C88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5"/>
  <sheetViews>
    <sheetView showGridLines="0" zoomScaleNormal="100" workbookViewId="0">
      <selection activeCell="D4" sqref="D4"/>
    </sheetView>
  </sheetViews>
  <sheetFormatPr defaultRowHeight="15" x14ac:dyDescent="0.25"/>
  <cols>
    <col min="1" max="1" width="1.42578125" customWidth="1"/>
    <col min="2" max="2" width="42.7109375" style="1" customWidth="1"/>
    <col min="3" max="3" width="11.140625" style="2" customWidth="1"/>
    <col min="4" max="10" width="15.7109375" style="2" customWidth="1"/>
  </cols>
  <sheetData>
    <row r="1" spans="2:10" s="16" customFormat="1" ht="7.5" customHeight="1" thickBot="1" x14ac:dyDescent="0.3">
      <c r="B1" s="17"/>
      <c r="C1" s="17"/>
      <c r="D1" s="15"/>
      <c r="E1" s="15"/>
      <c r="F1" s="15"/>
      <c r="G1" s="15"/>
      <c r="H1" s="15"/>
      <c r="I1" s="15"/>
      <c r="J1" s="15"/>
    </row>
    <row r="2" spans="2:10" ht="75" x14ac:dyDescent="0.25">
      <c r="B2" s="72" t="s">
        <v>0</v>
      </c>
      <c r="C2" s="73"/>
      <c r="D2" s="88" t="s">
        <v>81</v>
      </c>
      <c r="E2" s="89" t="s">
        <v>82</v>
      </c>
      <c r="F2" s="89" t="s">
        <v>83</v>
      </c>
      <c r="G2" s="89" t="s">
        <v>80</v>
      </c>
      <c r="H2" s="89" t="s">
        <v>80</v>
      </c>
      <c r="I2" s="89" t="s">
        <v>131</v>
      </c>
      <c r="J2" s="89" t="s">
        <v>131</v>
      </c>
    </row>
    <row r="3" spans="2:10" x14ac:dyDescent="0.25">
      <c r="B3" s="23"/>
      <c r="C3" s="24" t="s">
        <v>157</v>
      </c>
      <c r="D3" s="57" t="s">
        <v>57</v>
      </c>
      <c r="E3" s="51" t="s">
        <v>57</v>
      </c>
      <c r="F3" s="51" t="s">
        <v>57</v>
      </c>
      <c r="G3" s="51" t="s">
        <v>78</v>
      </c>
      <c r="H3" s="51" t="s">
        <v>79</v>
      </c>
      <c r="I3" s="51" t="s">
        <v>78</v>
      </c>
      <c r="J3" s="51" t="s">
        <v>79</v>
      </c>
    </row>
    <row r="4" spans="2:10" x14ac:dyDescent="0.25">
      <c r="B4" s="23" t="s">
        <v>17</v>
      </c>
      <c r="C4" s="24" t="s">
        <v>86</v>
      </c>
      <c r="D4" s="39" t="s">
        <v>5</v>
      </c>
      <c r="E4" s="40" t="s">
        <v>5</v>
      </c>
      <c r="F4" s="40" t="s">
        <v>5</v>
      </c>
      <c r="G4" s="40" t="s">
        <v>5</v>
      </c>
      <c r="H4" s="40" t="s">
        <v>5</v>
      </c>
      <c r="I4" s="40" t="s">
        <v>5</v>
      </c>
      <c r="J4" s="40" t="s">
        <v>5</v>
      </c>
    </row>
    <row r="5" spans="2:10" x14ac:dyDescent="0.25">
      <c r="B5" s="23" t="s">
        <v>14</v>
      </c>
      <c r="C5" s="24" t="s">
        <v>21</v>
      </c>
      <c r="D5" s="41">
        <f t="shared" ref="D5:H5" si="0">VLOOKUP(D4,Specs,2,FALSE)</f>
        <v>5330</v>
      </c>
      <c r="E5" s="42">
        <f t="shared" si="0"/>
        <v>5330</v>
      </c>
      <c r="F5" s="42">
        <f t="shared" si="0"/>
        <v>5330</v>
      </c>
      <c r="G5" s="42">
        <f t="shared" si="0"/>
        <v>5330</v>
      </c>
      <c r="H5" s="42">
        <f t="shared" si="0"/>
        <v>5330</v>
      </c>
      <c r="I5" s="42">
        <f t="shared" ref="I5:J5" si="1">VLOOKUP(I4,Specs,2,FALSE)</f>
        <v>5330</v>
      </c>
      <c r="J5" s="42">
        <f t="shared" si="1"/>
        <v>5330</v>
      </c>
    </row>
    <row r="6" spans="2:10" x14ac:dyDescent="0.25">
      <c r="B6" s="23" t="s">
        <v>18</v>
      </c>
      <c r="C6" s="24" t="s">
        <v>22</v>
      </c>
      <c r="D6" s="43">
        <f t="shared" ref="D6:H6" si="2">VLOOKUP(D4,Specs,3,FALSE)</f>
        <v>2.41</v>
      </c>
      <c r="E6" s="44">
        <f t="shared" si="2"/>
        <v>2.41</v>
      </c>
      <c r="F6" s="44">
        <f t="shared" si="2"/>
        <v>2.41</v>
      </c>
      <c r="G6" s="44">
        <f t="shared" si="2"/>
        <v>2.41</v>
      </c>
      <c r="H6" s="44">
        <f t="shared" si="2"/>
        <v>2.41</v>
      </c>
      <c r="I6" s="44">
        <f t="shared" ref="I6:J6" si="3">VLOOKUP(I4,Specs,3,FALSE)</f>
        <v>2.41</v>
      </c>
      <c r="J6" s="44">
        <f t="shared" si="3"/>
        <v>2.41</v>
      </c>
    </row>
    <row r="7" spans="2:10" x14ac:dyDescent="0.25">
      <c r="B7" s="23" t="s">
        <v>19</v>
      </c>
      <c r="C7" s="24" t="s">
        <v>23</v>
      </c>
      <c r="D7" s="41">
        <f t="shared" ref="D7:H7" si="4">VLOOKUP(D4,Specs,4,FALSE)</f>
        <v>131</v>
      </c>
      <c r="E7" s="42">
        <f t="shared" si="4"/>
        <v>131</v>
      </c>
      <c r="F7" s="42">
        <f t="shared" si="4"/>
        <v>131</v>
      </c>
      <c r="G7" s="42">
        <f t="shared" si="4"/>
        <v>131</v>
      </c>
      <c r="H7" s="42">
        <f t="shared" si="4"/>
        <v>131</v>
      </c>
      <c r="I7" s="42">
        <f t="shared" ref="I7:J7" si="5">VLOOKUP(I4,Specs,4,FALSE)</f>
        <v>131</v>
      </c>
      <c r="J7" s="42">
        <f t="shared" si="5"/>
        <v>131</v>
      </c>
    </row>
    <row r="8" spans="2:10" x14ac:dyDescent="0.25">
      <c r="B8" s="23" t="s">
        <v>20</v>
      </c>
      <c r="C8" s="24" t="s">
        <v>23</v>
      </c>
      <c r="D8" s="43">
        <f t="shared" ref="D8:H8" si="6">VLOOKUP(D4,Specs,5,FALSE)</f>
        <v>2.7</v>
      </c>
      <c r="E8" s="44">
        <f t="shared" si="6"/>
        <v>2.7</v>
      </c>
      <c r="F8" s="44">
        <f t="shared" si="6"/>
        <v>2.7</v>
      </c>
      <c r="G8" s="44">
        <f t="shared" si="6"/>
        <v>2.7</v>
      </c>
      <c r="H8" s="44">
        <f t="shared" si="6"/>
        <v>2.7</v>
      </c>
      <c r="I8" s="44">
        <f t="shared" ref="I8:J8" si="7">VLOOKUP(I4,Specs,5,FALSE)</f>
        <v>2.7</v>
      </c>
      <c r="J8" s="44">
        <f t="shared" si="7"/>
        <v>2.7</v>
      </c>
    </row>
    <row r="9" spans="2:10" x14ac:dyDescent="0.25">
      <c r="B9" s="23" t="s">
        <v>29</v>
      </c>
      <c r="C9" s="24" t="s">
        <v>125</v>
      </c>
      <c r="D9" s="43">
        <v>154</v>
      </c>
      <c r="E9" s="44">
        <v>154</v>
      </c>
      <c r="F9" s="44">
        <v>154</v>
      </c>
      <c r="G9" s="44">
        <v>154</v>
      </c>
      <c r="H9" s="44">
        <v>154</v>
      </c>
      <c r="I9" s="44">
        <v>154</v>
      </c>
      <c r="J9" s="44">
        <v>154</v>
      </c>
    </row>
    <row r="10" spans="2:10" x14ac:dyDescent="0.25">
      <c r="B10" s="23" t="s">
        <v>30</v>
      </c>
      <c r="C10" s="24" t="s">
        <v>31</v>
      </c>
      <c r="D10" s="45">
        <v>1</v>
      </c>
      <c r="E10" s="46">
        <v>1</v>
      </c>
      <c r="F10" s="46">
        <v>1</v>
      </c>
      <c r="G10" s="46">
        <v>1</v>
      </c>
      <c r="H10" s="46">
        <v>1</v>
      </c>
      <c r="I10" s="46">
        <v>1</v>
      </c>
      <c r="J10" s="46">
        <v>1</v>
      </c>
    </row>
    <row r="11" spans="2:10" x14ac:dyDescent="0.25">
      <c r="B11" s="23" t="s">
        <v>124</v>
      </c>
      <c r="C11" s="24" t="s">
        <v>31</v>
      </c>
      <c r="D11" s="45">
        <v>0.33</v>
      </c>
      <c r="E11" s="46">
        <v>0.33</v>
      </c>
      <c r="F11" s="46">
        <v>0.33</v>
      </c>
      <c r="G11" s="46">
        <v>0.33</v>
      </c>
      <c r="H11" s="46">
        <v>0.33</v>
      </c>
      <c r="I11" s="46">
        <v>1</v>
      </c>
      <c r="J11" s="46">
        <v>1</v>
      </c>
    </row>
    <row r="12" spans="2:10" x14ac:dyDescent="0.25">
      <c r="B12" s="23" t="s">
        <v>61</v>
      </c>
      <c r="C12" s="24" t="s">
        <v>86</v>
      </c>
      <c r="D12" s="41">
        <v>4</v>
      </c>
      <c r="E12" s="41">
        <v>6</v>
      </c>
      <c r="F12" s="41">
        <v>6</v>
      </c>
      <c r="G12" s="41">
        <v>4</v>
      </c>
      <c r="H12" s="41">
        <v>4</v>
      </c>
      <c r="I12" s="41">
        <v>4</v>
      </c>
      <c r="J12" s="41">
        <v>4</v>
      </c>
    </row>
    <row r="13" spans="2:10" x14ac:dyDescent="0.25">
      <c r="B13" s="23" t="s">
        <v>60</v>
      </c>
      <c r="C13" s="24" t="s">
        <v>128</v>
      </c>
      <c r="D13" s="47">
        <v>21.5</v>
      </c>
      <c r="E13" s="48">
        <v>25.5</v>
      </c>
      <c r="F13" s="48">
        <v>29.5</v>
      </c>
      <c r="G13" s="48">
        <v>26</v>
      </c>
      <c r="H13" s="48">
        <v>26</v>
      </c>
      <c r="I13" s="48">
        <v>24</v>
      </c>
      <c r="J13" s="48">
        <v>24</v>
      </c>
    </row>
    <row r="14" spans="2:10" x14ac:dyDescent="0.25">
      <c r="B14" s="23" t="s">
        <v>84</v>
      </c>
      <c r="C14" s="24" t="s">
        <v>128</v>
      </c>
      <c r="D14" s="47">
        <v>11.2</v>
      </c>
      <c r="E14" s="48">
        <v>18.3</v>
      </c>
      <c r="F14" s="48">
        <v>14.3</v>
      </c>
      <c r="G14" s="48">
        <v>12</v>
      </c>
      <c r="H14" s="48">
        <v>12</v>
      </c>
      <c r="I14" s="48">
        <v>8</v>
      </c>
      <c r="J14" s="48">
        <v>8</v>
      </c>
    </row>
    <row r="15" spans="2:10" x14ac:dyDescent="0.25">
      <c r="B15" s="23" t="s">
        <v>85</v>
      </c>
      <c r="C15" s="24" t="s">
        <v>128</v>
      </c>
      <c r="D15" s="47">
        <v>3</v>
      </c>
      <c r="E15" s="48">
        <v>0</v>
      </c>
      <c r="F15" s="48">
        <v>0</v>
      </c>
      <c r="G15" s="48">
        <v>3</v>
      </c>
      <c r="H15" s="48">
        <v>3</v>
      </c>
      <c r="I15" s="48">
        <v>0</v>
      </c>
      <c r="J15" s="48">
        <v>0</v>
      </c>
    </row>
    <row r="16" spans="2:10" x14ac:dyDescent="0.25">
      <c r="B16" s="23" t="s">
        <v>62</v>
      </c>
      <c r="C16" s="25" t="s">
        <v>68</v>
      </c>
      <c r="D16" s="47">
        <v>1</v>
      </c>
      <c r="E16" s="48">
        <v>1</v>
      </c>
      <c r="F16" s="48">
        <v>1</v>
      </c>
      <c r="G16" s="48">
        <v>1.2</v>
      </c>
      <c r="H16" s="48">
        <v>1.2</v>
      </c>
      <c r="I16" s="48">
        <v>1.2</v>
      </c>
      <c r="J16" s="48">
        <v>1.2</v>
      </c>
    </row>
    <row r="17" spans="2:10" x14ac:dyDescent="0.25">
      <c r="B17" s="23" t="s">
        <v>33</v>
      </c>
      <c r="C17" s="25" t="s">
        <v>68</v>
      </c>
      <c r="D17" s="47">
        <v>1</v>
      </c>
      <c r="E17" s="48">
        <v>1</v>
      </c>
      <c r="F17" s="48">
        <v>1</v>
      </c>
      <c r="G17" s="48">
        <v>1.2</v>
      </c>
      <c r="H17" s="48">
        <v>1.2</v>
      </c>
      <c r="I17" s="48">
        <v>1.2</v>
      </c>
      <c r="J17" s="48">
        <v>1.2</v>
      </c>
    </row>
    <row r="18" spans="2:10" x14ac:dyDescent="0.25">
      <c r="B18" s="23" t="s">
        <v>32</v>
      </c>
      <c r="C18" s="24" t="s">
        <v>128</v>
      </c>
      <c r="D18" s="47">
        <v>6</v>
      </c>
      <c r="E18" s="48">
        <v>6</v>
      </c>
      <c r="F18" s="48">
        <v>6</v>
      </c>
      <c r="G18" s="48">
        <v>4</v>
      </c>
      <c r="H18" s="48">
        <v>4</v>
      </c>
      <c r="I18" s="48">
        <v>4</v>
      </c>
      <c r="J18" s="48">
        <v>4</v>
      </c>
    </row>
    <row r="19" spans="2:10" x14ac:dyDescent="0.25">
      <c r="B19" s="23" t="s">
        <v>27</v>
      </c>
      <c r="C19" s="24" t="s">
        <v>67</v>
      </c>
      <c r="D19" s="41">
        <v>2</v>
      </c>
      <c r="E19" s="42">
        <v>2</v>
      </c>
      <c r="F19" s="42">
        <v>2</v>
      </c>
      <c r="G19" s="42">
        <v>2</v>
      </c>
      <c r="H19" s="42">
        <v>2</v>
      </c>
      <c r="I19" s="42">
        <v>2</v>
      </c>
      <c r="J19" s="42">
        <v>2</v>
      </c>
    </row>
    <row r="20" spans="2:10" x14ac:dyDescent="0.25">
      <c r="B20" s="23" t="s">
        <v>28</v>
      </c>
      <c r="C20" s="24" t="s">
        <v>67</v>
      </c>
      <c r="D20" s="41">
        <v>2</v>
      </c>
      <c r="E20" s="42">
        <v>2</v>
      </c>
      <c r="F20" s="42">
        <v>2</v>
      </c>
      <c r="G20" s="42">
        <v>3</v>
      </c>
      <c r="H20" s="42">
        <v>3</v>
      </c>
      <c r="I20" s="42">
        <v>2</v>
      </c>
      <c r="J20" s="42">
        <v>2</v>
      </c>
    </row>
    <row r="21" spans="2:10" x14ac:dyDescent="0.25">
      <c r="B21" s="23" t="s">
        <v>34</v>
      </c>
      <c r="C21" s="24" t="s">
        <v>31</v>
      </c>
      <c r="D21" s="45">
        <v>0.95</v>
      </c>
      <c r="E21" s="46">
        <v>0.95</v>
      </c>
      <c r="F21" s="46">
        <v>0.95</v>
      </c>
      <c r="G21" s="46">
        <v>0.95</v>
      </c>
      <c r="H21" s="46">
        <v>0.95</v>
      </c>
      <c r="I21" s="46">
        <v>0.95</v>
      </c>
      <c r="J21" s="46">
        <v>0.95</v>
      </c>
    </row>
    <row r="22" spans="2:10" x14ac:dyDescent="0.25">
      <c r="B22" s="23" t="s">
        <v>13</v>
      </c>
      <c r="C22" s="24" t="s">
        <v>31</v>
      </c>
      <c r="D22" s="45">
        <v>0.95</v>
      </c>
      <c r="E22" s="46">
        <v>0.95</v>
      </c>
      <c r="F22" s="46">
        <v>0.95</v>
      </c>
      <c r="G22" s="46">
        <v>0.95</v>
      </c>
      <c r="H22" s="46">
        <v>0.95</v>
      </c>
      <c r="I22" s="46">
        <v>0.95</v>
      </c>
      <c r="J22" s="46">
        <v>0.95</v>
      </c>
    </row>
    <row r="23" spans="2:10" x14ac:dyDescent="0.25">
      <c r="B23" s="23" t="s">
        <v>35</v>
      </c>
      <c r="C23" s="24" t="s">
        <v>25</v>
      </c>
      <c r="D23" s="41">
        <v>14</v>
      </c>
      <c r="E23" s="42">
        <v>14</v>
      </c>
      <c r="F23" s="42">
        <v>14</v>
      </c>
      <c r="G23" s="42">
        <v>11</v>
      </c>
      <c r="H23" s="42">
        <v>11</v>
      </c>
      <c r="I23" s="42">
        <v>12</v>
      </c>
      <c r="J23" s="42">
        <v>12</v>
      </c>
    </row>
    <row r="24" spans="2:10" x14ac:dyDescent="0.25">
      <c r="B24" s="23" t="s">
        <v>36</v>
      </c>
      <c r="C24" s="24" t="s">
        <v>25</v>
      </c>
      <c r="D24" s="41">
        <v>50</v>
      </c>
      <c r="E24" s="42">
        <v>50</v>
      </c>
      <c r="F24" s="42">
        <v>50</v>
      </c>
      <c r="G24" s="42">
        <v>42</v>
      </c>
      <c r="H24" s="42">
        <v>42</v>
      </c>
      <c r="I24" s="42">
        <v>44</v>
      </c>
      <c r="J24" s="42">
        <v>44</v>
      </c>
    </row>
    <row r="25" spans="2:10" x14ac:dyDescent="0.25">
      <c r="B25" s="23" t="s">
        <v>37</v>
      </c>
      <c r="C25" s="24" t="s">
        <v>25</v>
      </c>
      <c r="D25" s="41">
        <v>16</v>
      </c>
      <c r="E25" s="42">
        <v>16</v>
      </c>
      <c r="F25" s="42">
        <v>16</v>
      </c>
      <c r="G25" s="42">
        <v>14</v>
      </c>
      <c r="H25" s="42">
        <v>30</v>
      </c>
      <c r="I25" s="42">
        <v>14</v>
      </c>
      <c r="J25" s="42">
        <v>34</v>
      </c>
    </row>
    <row r="26" spans="2:10" x14ac:dyDescent="0.25">
      <c r="B26" s="23" t="s">
        <v>38</v>
      </c>
      <c r="C26" s="24" t="s">
        <v>25</v>
      </c>
      <c r="D26" s="41">
        <v>48</v>
      </c>
      <c r="E26" s="42">
        <v>48</v>
      </c>
      <c r="F26" s="42">
        <v>48</v>
      </c>
      <c r="G26" s="42">
        <v>60</v>
      </c>
      <c r="H26" s="42">
        <v>44</v>
      </c>
      <c r="I26" s="42">
        <v>60</v>
      </c>
      <c r="J26" s="42">
        <v>40</v>
      </c>
    </row>
    <row r="27" spans="2:10" x14ac:dyDescent="0.25">
      <c r="B27" s="23" t="s">
        <v>39</v>
      </c>
      <c r="C27" s="24" t="s">
        <v>25</v>
      </c>
      <c r="D27" s="41">
        <v>1</v>
      </c>
      <c r="E27" s="42">
        <v>1</v>
      </c>
      <c r="F27" s="42">
        <v>1</v>
      </c>
      <c r="G27" s="42">
        <v>1</v>
      </c>
      <c r="H27" s="42">
        <v>1</v>
      </c>
      <c r="I27" s="42">
        <v>1</v>
      </c>
      <c r="J27" s="42">
        <v>1</v>
      </c>
    </row>
    <row r="28" spans="2:10" x14ac:dyDescent="0.25">
      <c r="B28" s="23" t="s">
        <v>40</v>
      </c>
      <c r="C28" s="24" t="s">
        <v>25</v>
      </c>
      <c r="D28" s="41">
        <v>1</v>
      </c>
      <c r="E28" s="42">
        <v>1</v>
      </c>
      <c r="F28" s="42">
        <v>1</v>
      </c>
      <c r="G28" s="42">
        <v>1</v>
      </c>
      <c r="H28" s="42">
        <v>1</v>
      </c>
      <c r="I28" s="42">
        <v>1</v>
      </c>
      <c r="J28" s="42">
        <v>1</v>
      </c>
    </row>
    <row r="29" spans="2:10" x14ac:dyDescent="0.25">
      <c r="B29" s="23" t="s">
        <v>42</v>
      </c>
      <c r="C29" s="24" t="s">
        <v>25</v>
      </c>
      <c r="D29" s="41">
        <v>42</v>
      </c>
      <c r="E29" s="42">
        <v>42</v>
      </c>
      <c r="F29" s="42">
        <v>42</v>
      </c>
      <c r="G29" s="42">
        <v>16</v>
      </c>
      <c r="H29" s="42">
        <v>16</v>
      </c>
      <c r="I29" s="42">
        <v>15</v>
      </c>
      <c r="J29" s="42">
        <v>15</v>
      </c>
    </row>
    <row r="30" spans="2:10" x14ac:dyDescent="0.25">
      <c r="B30" s="23" t="s">
        <v>43</v>
      </c>
      <c r="C30" s="24" t="s">
        <v>25</v>
      </c>
      <c r="D30" s="41">
        <v>42</v>
      </c>
      <c r="E30" s="42">
        <v>42</v>
      </c>
      <c r="F30" s="42">
        <v>42</v>
      </c>
      <c r="G30" s="42">
        <v>16</v>
      </c>
      <c r="H30" s="42">
        <v>16</v>
      </c>
      <c r="I30" s="42">
        <v>22</v>
      </c>
      <c r="J30" s="42">
        <v>22</v>
      </c>
    </row>
    <row r="31" spans="2:10" s="13" customFormat="1" x14ac:dyDescent="0.25">
      <c r="B31" s="23" t="s">
        <v>171</v>
      </c>
      <c r="C31" s="24" t="s">
        <v>128</v>
      </c>
      <c r="D31" s="60">
        <v>0.19685049999999998</v>
      </c>
      <c r="E31" s="53">
        <v>0.19685049999999998</v>
      </c>
      <c r="F31" s="53">
        <v>0.19685049999999998</v>
      </c>
      <c r="G31" s="49">
        <v>0.25</v>
      </c>
      <c r="H31" s="50">
        <v>0.25</v>
      </c>
      <c r="I31" s="50">
        <v>0.375</v>
      </c>
      <c r="J31" s="50">
        <v>0.375</v>
      </c>
    </row>
    <row r="32" spans="2:10" s="13" customFormat="1" x14ac:dyDescent="0.25">
      <c r="B32" s="23" t="s">
        <v>132</v>
      </c>
      <c r="C32" s="24" t="s">
        <v>126</v>
      </c>
      <c r="D32" s="47">
        <v>7</v>
      </c>
      <c r="E32" s="47">
        <v>7</v>
      </c>
      <c r="F32" s="47">
        <v>7</v>
      </c>
      <c r="G32" s="47">
        <v>7</v>
      </c>
      <c r="H32" s="47">
        <v>7</v>
      </c>
      <c r="I32" s="47">
        <v>7</v>
      </c>
      <c r="J32" s="47">
        <v>7</v>
      </c>
    </row>
    <row r="33" spans="2:10" x14ac:dyDescent="0.25">
      <c r="B33" s="23" t="s">
        <v>44</v>
      </c>
      <c r="C33" s="24" t="s">
        <v>126</v>
      </c>
      <c r="D33" s="47">
        <v>12.5</v>
      </c>
      <c r="E33" s="48">
        <v>12.5</v>
      </c>
      <c r="F33" s="48">
        <v>12.5</v>
      </c>
      <c r="G33" s="48">
        <v>12.5</v>
      </c>
      <c r="H33" s="48">
        <v>12.5</v>
      </c>
      <c r="I33" s="48">
        <v>12.5</v>
      </c>
      <c r="J33" s="48">
        <v>12.5</v>
      </c>
    </row>
    <row r="34" spans="2:10" ht="15.75" thickBot="1" x14ac:dyDescent="0.3">
      <c r="B34" s="26" t="s">
        <v>91</v>
      </c>
      <c r="C34" s="27" t="s">
        <v>127</v>
      </c>
      <c r="D34" s="39">
        <v>0.02</v>
      </c>
      <c r="E34" s="40">
        <v>0.02</v>
      </c>
      <c r="F34" s="40">
        <v>0.02</v>
      </c>
      <c r="G34" s="40">
        <v>0.02</v>
      </c>
      <c r="H34" s="40">
        <v>0.02</v>
      </c>
      <c r="I34" s="40">
        <v>0.02</v>
      </c>
      <c r="J34" s="40">
        <v>0.02</v>
      </c>
    </row>
    <row r="35" spans="2:10" ht="15.75" thickBot="1" x14ac:dyDescent="0.3">
      <c r="I35" s="55"/>
    </row>
    <row r="36" spans="2:10" x14ac:dyDescent="0.25">
      <c r="B36" s="70" t="s">
        <v>53</v>
      </c>
      <c r="C36" s="71"/>
    </row>
    <row r="37" spans="2:10" x14ac:dyDescent="0.25">
      <c r="B37" s="19" t="s">
        <v>45</v>
      </c>
      <c r="C37" s="20"/>
      <c r="D37" s="33">
        <f t="shared" ref="D37:J37" si="8">(D24/D23)*(D26/D25)*(D28/D27)</f>
        <v>10.714285714285715</v>
      </c>
      <c r="E37" s="28">
        <f t="shared" si="8"/>
        <v>10.714285714285715</v>
      </c>
      <c r="F37" s="28">
        <f t="shared" si="8"/>
        <v>10.714285714285715</v>
      </c>
      <c r="G37" s="28">
        <f t="shared" si="8"/>
        <v>16.363636363636363</v>
      </c>
      <c r="H37" s="28">
        <f t="shared" si="8"/>
        <v>5.6</v>
      </c>
      <c r="I37" s="28">
        <f t="shared" si="8"/>
        <v>15.714285714285714</v>
      </c>
      <c r="J37" s="28">
        <f t="shared" si="8"/>
        <v>4.3137254901960782</v>
      </c>
    </row>
    <row r="38" spans="2:10" x14ac:dyDescent="0.25">
      <c r="B38" s="19" t="s">
        <v>55</v>
      </c>
      <c r="C38" s="20"/>
      <c r="D38" s="33">
        <f t="shared" ref="D38:J38" si="9">D37*(D30/D29)</f>
        <v>10.714285714285715</v>
      </c>
      <c r="E38" s="28">
        <f t="shared" si="9"/>
        <v>10.714285714285715</v>
      </c>
      <c r="F38" s="28">
        <f t="shared" si="9"/>
        <v>10.714285714285715</v>
      </c>
      <c r="G38" s="28">
        <f t="shared" si="9"/>
        <v>16.363636363636363</v>
      </c>
      <c r="H38" s="28">
        <f t="shared" si="9"/>
        <v>5.6</v>
      </c>
      <c r="I38" s="28">
        <f t="shared" si="9"/>
        <v>23.047619047619044</v>
      </c>
      <c r="J38" s="28">
        <f t="shared" si="9"/>
        <v>6.3267973856209139</v>
      </c>
    </row>
    <row r="39" spans="2:10" x14ac:dyDescent="0.25">
      <c r="B39" s="19" t="s">
        <v>14</v>
      </c>
      <c r="C39" s="20" t="s">
        <v>52</v>
      </c>
      <c r="D39" s="33">
        <f t="shared" ref="D39:J39" si="10">(D5/D38)*(PI()*(D18/12))/60</f>
        <v>13.023646878381687</v>
      </c>
      <c r="E39" s="28">
        <f t="shared" si="10"/>
        <v>13.023646878381687</v>
      </c>
      <c r="F39" s="28">
        <f t="shared" si="10"/>
        <v>13.023646878381687</v>
      </c>
      <c r="G39" s="28">
        <f t="shared" si="10"/>
        <v>5.6849252246904181</v>
      </c>
      <c r="H39" s="28">
        <f t="shared" si="10"/>
        <v>16.611794487731743</v>
      </c>
      <c r="I39" s="28">
        <f t="shared" si="10"/>
        <v>4.0362541978455644</v>
      </c>
      <c r="J39" s="28">
        <f t="shared" si="10"/>
        <v>14.703497435008842</v>
      </c>
    </row>
    <row r="40" spans="2:10" x14ac:dyDescent="0.25">
      <c r="B40" s="19" t="s">
        <v>15</v>
      </c>
      <c r="C40" s="20" t="s">
        <v>52</v>
      </c>
      <c r="D40" s="33">
        <f t="shared" ref="D40:J40" si="11">D39*D41</f>
        <v>11.166149242352498</v>
      </c>
      <c r="E40" s="28">
        <f t="shared" si="11"/>
        <v>11.166149242352498</v>
      </c>
      <c r="F40" s="28">
        <f t="shared" si="11"/>
        <v>11.166149242352498</v>
      </c>
      <c r="G40" s="28">
        <f t="shared" si="11"/>
        <v>4.8741127645189462</v>
      </c>
      <c r="H40" s="28">
        <f t="shared" si="11"/>
        <v>14.242537298919</v>
      </c>
      <c r="I40" s="28">
        <f t="shared" si="11"/>
        <v>3.4605834428778404</v>
      </c>
      <c r="J40" s="28">
        <f t="shared" si="11"/>
        <v>12.606411113340704</v>
      </c>
    </row>
    <row r="41" spans="2:10" x14ac:dyDescent="0.25">
      <c r="B41" s="19" t="s">
        <v>54</v>
      </c>
      <c r="C41" s="20" t="s">
        <v>31</v>
      </c>
      <c r="D41" s="34">
        <f t="shared" ref="D41:J41" si="12">((IF((D24+D23)&gt;2,D21,1 ))*(IF((D26+D25)&gt;2,D21,1))*(IF((D28+D27)&gt;2,D21,1))*(IF((D29+D30)&gt;2,D22,1)))</f>
        <v>0.85737499999999989</v>
      </c>
      <c r="E41" s="31">
        <f t="shared" si="12"/>
        <v>0.85737499999999989</v>
      </c>
      <c r="F41" s="31">
        <f t="shared" si="12"/>
        <v>0.85737499999999989</v>
      </c>
      <c r="G41" s="31">
        <f t="shared" si="12"/>
        <v>0.85737499999999989</v>
      </c>
      <c r="H41" s="31">
        <f t="shared" si="12"/>
        <v>0.85737499999999989</v>
      </c>
      <c r="I41" s="31">
        <f t="shared" si="12"/>
        <v>0.85737499999999989</v>
      </c>
      <c r="J41" s="31">
        <f t="shared" si="12"/>
        <v>0.85737499999999989</v>
      </c>
    </row>
    <row r="42" spans="2:10" x14ac:dyDescent="0.25">
      <c r="B42" s="19" t="s">
        <v>46</v>
      </c>
      <c r="C42" s="20" t="s">
        <v>23</v>
      </c>
      <c r="D42" s="35">
        <f t="shared" ref="D42:J42" si="13">D8+(((D7-D8)/(D6*8.850745792))*(D9*D10*D17)*(D18/2)/(D20*D19)/(D41*D38))</f>
        <v>78.327142536492516</v>
      </c>
      <c r="E42" s="29">
        <f t="shared" si="13"/>
        <v>78.327142536492516</v>
      </c>
      <c r="F42" s="29">
        <f t="shared" si="13"/>
        <v>78.327142536492516</v>
      </c>
      <c r="G42" s="29">
        <f t="shared" si="13"/>
        <v>29.109478346076749</v>
      </c>
      <c r="H42" s="29">
        <f t="shared" si="13"/>
        <v>79.87055360866583</v>
      </c>
      <c r="I42" s="29">
        <f t="shared" si="13"/>
        <v>30.82579681109226</v>
      </c>
      <c r="J42" s="29">
        <f t="shared" si="13"/>
        <v>105.1582598118361</v>
      </c>
    </row>
    <row r="43" spans="2:10" x14ac:dyDescent="0.25">
      <c r="B43" s="19" t="s">
        <v>47</v>
      </c>
      <c r="C43" s="20" t="s">
        <v>23</v>
      </c>
      <c r="D43" s="35">
        <f t="shared" ref="D43:J43" si="14">D42*(D20*D19)</f>
        <v>313.30857014597007</v>
      </c>
      <c r="E43" s="29">
        <f t="shared" si="14"/>
        <v>313.30857014597007</v>
      </c>
      <c r="F43" s="29">
        <f t="shared" si="14"/>
        <v>313.30857014597007</v>
      </c>
      <c r="G43" s="29">
        <f t="shared" si="14"/>
        <v>174.65687007646051</v>
      </c>
      <c r="H43" s="29">
        <f t="shared" si="14"/>
        <v>479.22332165199498</v>
      </c>
      <c r="I43" s="29">
        <f t="shared" si="14"/>
        <v>123.30318724436904</v>
      </c>
      <c r="J43" s="29">
        <f t="shared" si="14"/>
        <v>420.63303924734441</v>
      </c>
    </row>
    <row r="44" spans="2:10" x14ac:dyDescent="0.25">
      <c r="B44" s="19" t="s">
        <v>74</v>
      </c>
      <c r="C44" s="20" t="s">
        <v>129</v>
      </c>
      <c r="D44" s="35">
        <f t="shared" ref="D44:J44" si="15">IF(D42&gt;40,68326*D42^-2.434,"N/A")</f>
        <v>1.6780445983346131</v>
      </c>
      <c r="E44" s="29">
        <f t="shared" si="15"/>
        <v>1.6780445983346131</v>
      </c>
      <c r="F44" s="29">
        <f t="shared" si="15"/>
        <v>1.6780445983346131</v>
      </c>
      <c r="G44" s="29" t="str">
        <f t="shared" si="15"/>
        <v>N/A</v>
      </c>
      <c r="H44" s="29">
        <f t="shared" si="15"/>
        <v>1.6002092693711012</v>
      </c>
      <c r="I44" s="29" t="str">
        <f t="shared" si="15"/>
        <v>N/A</v>
      </c>
      <c r="J44" s="29">
        <f t="shared" si="15"/>
        <v>0.81925515681543726</v>
      </c>
    </row>
    <row r="45" spans="2:10" x14ac:dyDescent="0.25">
      <c r="B45" s="19" t="s">
        <v>75</v>
      </c>
      <c r="C45" s="20" t="s">
        <v>129</v>
      </c>
      <c r="D45" s="35">
        <f t="shared" ref="D45:J45" si="16">IF(D42&gt;40,90000000*D42^-3.741,"N/A")</f>
        <v>7.3980397030486245</v>
      </c>
      <c r="E45" s="29">
        <f t="shared" si="16"/>
        <v>7.3980397030486245</v>
      </c>
      <c r="F45" s="29">
        <f t="shared" si="16"/>
        <v>7.3980397030486245</v>
      </c>
      <c r="G45" s="29" t="str">
        <f t="shared" si="16"/>
        <v>N/A</v>
      </c>
      <c r="H45" s="29">
        <f t="shared" si="16"/>
        <v>6.8772353151346124</v>
      </c>
      <c r="I45" s="29" t="str">
        <f t="shared" si="16"/>
        <v>N/A</v>
      </c>
      <c r="J45" s="29">
        <f t="shared" si="16"/>
        <v>2.4576859399363138</v>
      </c>
    </row>
    <row r="46" spans="2:10" x14ac:dyDescent="0.25">
      <c r="B46" s="19" t="s">
        <v>76</v>
      </c>
      <c r="C46" s="20" t="s">
        <v>129</v>
      </c>
      <c r="D46" s="35">
        <f>IF(D43&gt;120,8000000*D43^-2.467,"N/A")</f>
        <v>5.5657844814045463</v>
      </c>
      <c r="E46" s="29">
        <f>IF(E43&gt;120,8000000*E43^-2.467,"N/A")</f>
        <v>5.5657844814045463</v>
      </c>
      <c r="F46" s="29">
        <f>IF(F43&gt;120,8000000*F43^-2.467,"N/A")</f>
        <v>5.5657844814045463</v>
      </c>
      <c r="G46" s="29">
        <f t="shared" ref="G46:J46" si="17">IF(G43&gt;120,8000000*G43^-2.467,"N/A")</f>
        <v>23.529783506131992</v>
      </c>
      <c r="H46" s="29">
        <f t="shared" si="17"/>
        <v>1.9507556638395975</v>
      </c>
      <c r="I46" s="29">
        <f t="shared" si="17"/>
        <v>55.546459453362274</v>
      </c>
      <c r="J46" s="29">
        <f t="shared" si="17"/>
        <v>2.6910411796734048</v>
      </c>
    </row>
    <row r="47" spans="2:10" x14ac:dyDescent="0.25">
      <c r="B47" s="19" t="s">
        <v>77</v>
      </c>
      <c r="C47" s="20" t="s">
        <v>129</v>
      </c>
      <c r="D47" s="35">
        <f>IF(D43&gt;120,1000000000*D43^-3.118,"N/A")</f>
        <v>16.50283083150044</v>
      </c>
      <c r="E47" s="29">
        <f>IF(E43&gt;120,1000000000*E43^-3.118,"N/A")</f>
        <v>16.50283083150044</v>
      </c>
      <c r="F47" s="29">
        <f>IF(F43&gt;120,1000000000*F43^-3.118,"N/A")</f>
        <v>16.50283083150044</v>
      </c>
      <c r="G47" s="29">
        <f t="shared" ref="G47:J47" si="18">IF(G43&gt;120,1000000000*G43^-3.118,"N/A")</f>
        <v>102.06223421193977</v>
      </c>
      <c r="H47" s="29">
        <f t="shared" si="18"/>
        <v>4.3861419957226362</v>
      </c>
      <c r="I47" s="29">
        <f t="shared" si="18"/>
        <v>302.23316841264267</v>
      </c>
      <c r="J47" s="29">
        <f t="shared" si="18"/>
        <v>6.5867208017771963</v>
      </c>
    </row>
    <row r="48" spans="2:10" x14ac:dyDescent="0.25">
      <c r="B48" s="19" t="s">
        <v>48</v>
      </c>
      <c r="C48" s="20" t="s">
        <v>126</v>
      </c>
      <c r="D48" s="33">
        <f t="shared" ref="D48:J48" si="19">(-D34*D43)+D33</f>
        <v>6.2338285970805982</v>
      </c>
      <c r="E48" s="28">
        <f t="shared" si="19"/>
        <v>6.2338285970805982</v>
      </c>
      <c r="F48" s="28">
        <f t="shared" si="19"/>
        <v>6.2338285970805982</v>
      </c>
      <c r="G48" s="28">
        <f t="shared" si="19"/>
        <v>9.0068625984707893</v>
      </c>
      <c r="H48" s="28">
        <f t="shared" si="19"/>
        <v>2.9155335669601001</v>
      </c>
      <c r="I48" s="28">
        <f t="shared" si="19"/>
        <v>10.03393625511262</v>
      </c>
      <c r="J48" s="28">
        <f t="shared" si="19"/>
        <v>4.0873392150531114</v>
      </c>
    </row>
    <row r="49" spans="2:10" x14ac:dyDescent="0.25">
      <c r="B49" s="19" t="s">
        <v>56</v>
      </c>
      <c r="C49" s="20"/>
      <c r="D49" s="36" t="str">
        <f t="shared" ref="D49:J49" si="20">IF(D48&gt;6.8,"No",IF(D48&gt;6.3,"Stage 1 Brownout",IF(D48&gt;4.5,"Stage 2 Brownout","Blackout")))</f>
        <v>Stage 2 Brownout</v>
      </c>
      <c r="E49" s="32" t="str">
        <f t="shared" si="20"/>
        <v>Stage 2 Brownout</v>
      </c>
      <c r="F49" s="32" t="str">
        <f t="shared" si="20"/>
        <v>Stage 2 Brownout</v>
      </c>
      <c r="G49" s="32" t="str">
        <f t="shared" si="20"/>
        <v>No</v>
      </c>
      <c r="H49" s="32" t="str">
        <f t="shared" si="20"/>
        <v>Blackout</v>
      </c>
      <c r="I49" s="32" t="str">
        <f t="shared" si="20"/>
        <v>No</v>
      </c>
      <c r="J49" s="32" t="str">
        <f t="shared" si="20"/>
        <v>Blackout</v>
      </c>
    </row>
    <row r="50" spans="2:10" x14ac:dyDescent="0.25">
      <c r="B50" s="19" t="s">
        <v>16</v>
      </c>
      <c r="C50" s="20" t="s">
        <v>128</v>
      </c>
      <c r="D50" s="69">
        <f t="shared" ref="D50:J50" si="21">D29*D31/PI()</f>
        <v>2.6316973305093359</v>
      </c>
      <c r="E50" s="69">
        <f t="shared" si="21"/>
        <v>2.6316973305093359</v>
      </c>
      <c r="F50" s="69">
        <f t="shared" si="21"/>
        <v>2.6316973305093359</v>
      </c>
      <c r="G50" s="69">
        <f t="shared" si="21"/>
        <v>1.2732395447351628</v>
      </c>
      <c r="H50" s="69">
        <f t="shared" si="21"/>
        <v>1.2732395447351628</v>
      </c>
      <c r="I50" s="69">
        <f t="shared" si="21"/>
        <v>1.7904931097838226</v>
      </c>
      <c r="J50" s="69">
        <f t="shared" si="21"/>
        <v>1.7904931097838226</v>
      </c>
    </row>
    <row r="51" spans="2:10" x14ac:dyDescent="0.25">
      <c r="B51" s="19" t="s">
        <v>41</v>
      </c>
      <c r="C51" s="20" t="s">
        <v>128</v>
      </c>
      <c r="D51" s="58">
        <f t="shared" ref="D51:J51" si="22">D30*D31/PI()</f>
        <v>2.6316973305093359</v>
      </c>
      <c r="E51" s="58">
        <f t="shared" si="22"/>
        <v>2.6316973305093359</v>
      </c>
      <c r="F51" s="58">
        <f t="shared" si="22"/>
        <v>2.6316973305093359</v>
      </c>
      <c r="G51" s="58">
        <f t="shared" si="22"/>
        <v>1.2732395447351628</v>
      </c>
      <c r="H51" s="58">
        <f t="shared" si="22"/>
        <v>1.2732395447351628</v>
      </c>
      <c r="I51" s="58">
        <f t="shared" si="22"/>
        <v>2.6260565610162732</v>
      </c>
      <c r="J51" s="58">
        <f t="shared" si="22"/>
        <v>2.6260565610162732</v>
      </c>
    </row>
    <row r="52" spans="2:10" x14ac:dyDescent="0.25">
      <c r="B52" s="19" t="s">
        <v>49</v>
      </c>
      <c r="C52" s="20" t="s">
        <v>125</v>
      </c>
      <c r="D52" s="35">
        <f t="shared" ref="D52:J52" si="23">((8.850745792*D6*D20*D37)/(D50/2))</f>
        <v>347.36350206012304</v>
      </c>
      <c r="E52" s="29">
        <f t="shared" si="23"/>
        <v>347.36350206012304</v>
      </c>
      <c r="F52" s="29">
        <f t="shared" si="23"/>
        <v>347.36350206012304</v>
      </c>
      <c r="G52" s="29">
        <f t="shared" si="23"/>
        <v>1644.8180436255398</v>
      </c>
      <c r="H52" s="29">
        <f t="shared" si="23"/>
        <v>562.89328604074024</v>
      </c>
      <c r="I52" s="29">
        <f t="shared" si="23"/>
        <v>748.82251204210354</v>
      </c>
      <c r="J52" s="29">
        <f t="shared" si="23"/>
        <v>205.5591209527343</v>
      </c>
    </row>
    <row r="53" spans="2:10" x14ac:dyDescent="0.25">
      <c r="B53" s="19" t="s">
        <v>160</v>
      </c>
      <c r="C53" s="20" t="s">
        <v>125</v>
      </c>
      <c r="D53" s="29">
        <f t="shared" ref="D53:J53" si="24">(((((D6/(D7-D8))*(((D33-D32)/D34)/2))*8.850745792)*D37))/(D50/2)</f>
        <v>186.13593738607528</v>
      </c>
      <c r="E53" s="29">
        <f t="shared" si="24"/>
        <v>186.13593738607528</v>
      </c>
      <c r="F53" s="29">
        <f t="shared" si="24"/>
        <v>186.13593738607528</v>
      </c>
      <c r="G53" s="29">
        <f t="shared" si="24"/>
        <v>587.58763574567865</v>
      </c>
      <c r="H53" s="29">
        <f t="shared" si="24"/>
        <v>201.0855464551878</v>
      </c>
      <c r="I53" s="29">
        <f t="shared" si="24"/>
        <v>401.25914031874214</v>
      </c>
      <c r="J53" s="29">
        <f t="shared" si="24"/>
        <v>110.14956793063509</v>
      </c>
    </row>
    <row r="54" spans="2:10" x14ac:dyDescent="0.25">
      <c r="B54" s="19" t="s">
        <v>161</v>
      </c>
      <c r="C54" s="20" t="s">
        <v>125</v>
      </c>
      <c r="D54" s="35">
        <f t="shared" ref="D54:J54" si="25">(((D9*D17)/D19)*(D18/2))/(D51/2)</f>
        <v>175.5521026844622</v>
      </c>
      <c r="E54" s="29">
        <f t="shared" si="25"/>
        <v>175.5521026844622</v>
      </c>
      <c r="F54" s="29">
        <f t="shared" si="25"/>
        <v>175.5521026844622</v>
      </c>
      <c r="G54" s="29">
        <f t="shared" si="25"/>
        <v>290.28316119169688</v>
      </c>
      <c r="H54" s="29">
        <f t="shared" si="25"/>
        <v>290.28316119169688</v>
      </c>
      <c r="I54" s="29">
        <f t="shared" si="25"/>
        <v>140.74335088082273</v>
      </c>
      <c r="J54" s="29">
        <f t="shared" si="25"/>
        <v>140.74335088082273</v>
      </c>
    </row>
    <row r="55" spans="2:10" x14ac:dyDescent="0.25">
      <c r="B55" s="19" t="s">
        <v>50</v>
      </c>
      <c r="C55" s="20"/>
      <c r="D55" s="36" t="str">
        <f t="shared" ref="D55:J55" si="26">IF(D48&gt;6.8,IF(D53&gt;D54,"Yes","No"),"No")</f>
        <v>No</v>
      </c>
      <c r="E55" s="36" t="str">
        <f t="shared" si="26"/>
        <v>No</v>
      </c>
      <c r="F55" s="36" t="str">
        <f t="shared" si="26"/>
        <v>No</v>
      </c>
      <c r="G55" s="36" t="str">
        <f t="shared" si="26"/>
        <v>Yes</v>
      </c>
      <c r="H55" s="36" t="str">
        <f t="shared" si="26"/>
        <v>No</v>
      </c>
      <c r="I55" s="36" t="str">
        <f t="shared" si="26"/>
        <v>Yes</v>
      </c>
      <c r="J55" s="36" t="str">
        <f t="shared" si="26"/>
        <v>No</v>
      </c>
    </row>
    <row r="56" spans="2:10" x14ac:dyDescent="0.25">
      <c r="B56" s="19" t="s">
        <v>51</v>
      </c>
      <c r="C56" s="20" t="s">
        <v>125</v>
      </c>
      <c r="D56" s="35">
        <f t="shared" ref="D56:J56" si="27">((MIN(D53:D54))*D19)*(D51/2)/(D18/2)</f>
        <v>154</v>
      </c>
      <c r="E56" s="29">
        <f t="shared" si="27"/>
        <v>154</v>
      </c>
      <c r="F56" s="29">
        <f t="shared" si="27"/>
        <v>154</v>
      </c>
      <c r="G56" s="29">
        <f t="shared" si="27"/>
        <v>184.8</v>
      </c>
      <c r="H56" s="29">
        <f t="shared" si="27"/>
        <v>128.01503481071236</v>
      </c>
      <c r="I56" s="29">
        <f t="shared" si="27"/>
        <v>184.8</v>
      </c>
      <c r="J56" s="29">
        <f t="shared" si="27"/>
        <v>144.62949777867598</v>
      </c>
    </row>
    <row r="57" spans="2:10" x14ac:dyDescent="0.25">
      <c r="B57" s="19" t="s">
        <v>58</v>
      </c>
      <c r="C57" s="20" t="s">
        <v>63</v>
      </c>
      <c r="D57" s="33">
        <f t="shared" ref="D57:J57" si="28">((D56/2))/(((D9*D16)/D13)*(((IF(D12&gt;5,D14*(2/3),D14)/2))-D15))</f>
        <v>4.134615384615385</v>
      </c>
      <c r="E57" s="33">
        <f t="shared" si="28"/>
        <v>2.0901639344262297</v>
      </c>
      <c r="F57" s="33">
        <f t="shared" si="28"/>
        <v>3.0944055944055942</v>
      </c>
      <c r="G57" s="33">
        <f t="shared" si="28"/>
        <v>4.3333333333333339</v>
      </c>
      <c r="H57" s="33">
        <f t="shared" si="28"/>
        <v>3.0017955493132411</v>
      </c>
      <c r="I57" s="33">
        <f t="shared" si="28"/>
        <v>3.0000000000000004</v>
      </c>
      <c r="J57" s="33">
        <f t="shared" si="28"/>
        <v>2.3478814574460389</v>
      </c>
    </row>
    <row r="58" spans="2:10" x14ac:dyDescent="0.25">
      <c r="B58" s="19" t="s">
        <v>59</v>
      </c>
      <c r="C58" s="20"/>
      <c r="D58" s="28" t="str">
        <f>IF(D57&gt;1,"Yes","No")</f>
        <v>Yes</v>
      </c>
      <c r="E58" s="28" t="str">
        <f t="shared" ref="E58:J58" si="29">IF(E57&gt;1,"Yes","No")</f>
        <v>Yes</v>
      </c>
      <c r="F58" s="28" t="str">
        <f t="shared" si="29"/>
        <v>Yes</v>
      </c>
      <c r="G58" s="28" t="str">
        <f t="shared" si="29"/>
        <v>Yes</v>
      </c>
      <c r="H58" s="28" t="str">
        <f t="shared" si="29"/>
        <v>Yes</v>
      </c>
      <c r="I58" s="28" t="str">
        <f t="shared" si="29"/>
        <v>Yes</v>
      </c>
      <c r="J58" s="28" t="str">
        <f t="shared" si="29"/>
        <v>Yes</v>
      </c>
    </row>
    <row r="59" spans="2:10" x14ac:dyDescent="0.25">
      <c r="B59" s="19" t="s">
        <v>64</v>
      </c>
      <c r="C59" s="20" t="s">
        <v>63</v>
      </c>
      <c r="D59" s="37">
        <f t="shared" ref="D59:J59" si="30">140/(MIN(D53:D54)*D11)</f>
        <v>2.4166183016614653</v>
      </c>
      <c r="E59" s="37">
        <f t="shared" si="30"/>
        <v>2.4166183016614653</v>
      </c>
      <c r="F59" s="37">
        <f t="shared" si="30"/>
        <v>2.4166183016614653</v>
      </c>
      <c r="G59" s="37">
        <f t="shared" si="30"/>
        <v>1.4614778979972023</v>
      </c>
      <c r="H59" s="37">
        <f t="shared" si="30"/>
        <v>2.1097609038597271</v>
      </c>
      <c r="I59" s="37">
        <f t="shared" si="30"/>
        <v>0.99471839432434583</v>
      </c>
      <c r="J59" s="37">
        <f t="shared" si="30"/>
        <v>1.2709990845189947</v>
      </c>
    </row>
    <row r="60" spans="2:10" x14ac:dyDescent="0.25">
      <c r="B60" s="19" t="s">
        <v>65</v>
      </c>
      <c r="C60" s="20" t="s">
        <v>63</v>
      </c>
      <c r="D60" s="33">
        <f t="shared" ref="D60:J60" si="31">190/(MIN(D53:D54)*D11)</f>
        <v>3.2796962665405602</v>
      </c>
      <c r="E60" s="33">
        <f t="shared" si="31"/>
        <v>3.2796962665405602</v>
      </c>
      <c r="F60" s="33">
        <f t="shared" si="31"/>
        <v>3.2796962665405602</v>
      </c>
      <c r="G60" s="33">
        <f t="shared" si="31"/>
        <v>1.9834342901390603</v>
      </c>
      <c r="H60" s="33">
        <f t="shared" si="31"/>
        <v>2.8632469409524872</v>
      </c>
      <c r="I60" s="33">
        <f t="shared" si="31"/>
        <v>1.349974963725898</v>
      </c>
      <c r="J60" s="33">
        <f t="shared" si="31"/>
        <v>1.7249273289900642</v>
      </c>
    </row>
    <row r="61" spans="2:10" x14ac:dyDescent="0.25">
      <c r="B61" s="19" t="s">
        <v>66</v>
      </c>
      <c r="C61" s="20" t="s">
        <v>63</v>
      </c>
      <c r="D61" s="37">
        <f t="shared" ref="D61:J61" si="32">480/(MIN(D53:D54)*D11)</f>
        <v>8.2855484628393103</v>
      </c>
      <c r="E61" s="37">
        <f t="shared" si="32"/>
        <v>8.2855484628393103</v>
      </c>
      <c r="F61" s="37">
        <f t="shared" si="32"/>
        <v>8.2855484628393103</v>
      </c>
      <c r="G61" s="37">
        <f t="shared" si="32"/>
        <v>5.0107813645618364</v>
      </c>
      <c r="H61" s="37">
        <f t="shared" si="32"/>
        <v>7.2334659560904937</v>
      </c>
      <c r="I61" s="37">
        <f t="shared" si="32"/>
        <v>3.4104630662549003</v>
      </c>
      <c r="J61" s="37">
        <f t="shared" si="32"/>
        <v>4.3577111469222674</v>
      </c>
    </row>
    <row r="62" spans="2:10" x14ac:dyDescent="0.25">
      <c r="B62" s="19" t="s">
        <v>87</v>
      </c>
      <c r="C62" s="20" t="s">
        <v>63</v>
      </c>
      <c r="D62" s="37">
        <f t="shared" ref="D62:J62" si="33">36.1/(MIN(D53:D54)*D11)</f>
        <v>0.62314229064270643</v>
      </c>
      <c r="E62" s="37">
        <f t="shared" si="33"/>
        <v>0.62314229064270643</v>
      </c>
      <c r="F62" s="37">
        <f t="shared" si="33"/>
        <v>0.62314229064270643</v>
      </c>
      <c r="G62" s="37">
        <f t="shared" si="33"/>
        <v>0.37685251512642148</v>
      </c>
      <c r="H62" s="37">
        <f t="shared" si="33"/>
        <v>0.54401691878097258</v>
      </c>
      <c r="I62" s="37">
        <f t="shared" si="33"/>
        <v>0.2564952431079206</v>
      </c>
      <c r="J62" s="37">
        <f t="shared" si="33"/>
        <v>0.3277361925081122</v>
      </c>
    </row>
    <row r="63" spans="2:10" x14ac:dyDescent="0.25">
      <c r="B63" s="19" t="s">
        <v>88</v>
      </c>
      <c r="C63" s="20" t="s">
        <v>63</v>
      </c>
      <c r="D63" s="37">
        <f t="shared" ref="D63:J63" si="34">60.2/(MIN(D53:D54)*D11)</f>
        <v>1.0391458697144302</v>
      </c>
      <c r="E63" s="37">
        <f t="shared" si="34"/>
        <v>1.0391458697144302</v>
      </c>
      <c r="F63" s="37">
        <f t="shared" si="34"/>
        <v>1.0391458697144302</v>
      </c>
      <c r="G63" s="37">
        <f t="shared" si="34"/>
        <v>0.62843549613879701</v>
      </c>
      <c r="H63" s="37">
        <f t="shared" si="34"/>
        <v>0.9071971886596828</v>
      </c>
      <c r="I63" s="37">
        <f t="shared" si="34"/>
        <v>0.42772890955946874</v>
      </c>
      <c r="J63" s="37">
        <f t="shared" si="34"/>
        <v>0.54652960634316772</v>
      </c>
    </row>
    <row r="64" spans="2:10" x14ac:dyDescent="0.25">
      <c r="B64" s="19" t="s">
        <v>89</v>
      </c>
      <c r="C64" s="20" t="s">
        <v>63</v>
      </c>
      <c r="D64" s="37">
        <f t="shared" ref="D64:J64" si="35">56.6/(MIN(D53:D54)*D11)</f>
        <v>0.97700425624313536</v>
      </c>
      <c r="E64" s="37">
        <f t="shared" si="35"/>
        <v>0.97700425624313536</v>
      </c>
      <c r="F64" s="37">
        <f t="shared" si="35"/>
        <v>0.97700425624313536</v>
      </c>
      <c r="G64" s="37">
        <f t="shared" si="35"/>
        <v>0.5908546359045832</v>
      </c>
      <c r="H64" s="37">
        <f t="shared" si="35"/>
        <v>0.85294619398900406</v>
      </c>
      <c r="I64" s="37">
        <f t="shared" si="35"/>
        <v>0.402150436562557</v>
      </c>
      <c r="J64" s="37">
        <f t="shared" si="35"/>
        <v>0.51384677274125068</v>
      </c>
    </row>
    <row r="65" spans="2:10" ht="15.75" thickBot="1" x14ac:dyDescent="0.3">
      <c r="B65" s="21" t="s">
        <v>90</v>
      </c>
      <c r="C65" s="22" t="s">
        <v>63</v>
      </c>
      <c r="D65" s="37">
        <f t="shared" ref="D65:J65" si="36">94.4/(MIN(D53:D54)*D11)</f>
        <v>1.629491197691731</v>
      </c>
      <c r="E65" s="37">
        <f t="shared" si="36"/>
        <v>1.629491197691731</v>
      </c>
      <c r="F65" s="37">
        <f t="shared" si="36"/>
        <v>1.629491197691731</v>
      </c>
      <c r="G65" s="37">
        <f t="shared" si="36"/>
        <v>0.98545366836382797</v>
      </c>
      <c r="H65" s="37">
        <f t="shared" si="36"/>
        <v>1.4225816380311305</v>
      </c>
      <c r="I65" s="37">
        <f t="shared" si="36"/>
        <v>0.67072440303013037</v>
      </c>
      <c r="J65" s="37">
        <f t="shared" si="36"/>
        <v>0.85701652556137931</v>
      </c>
    </row>
  </sheetData>
  <mergeCells count="2">
    <mergeCell ref="B36:C36"/>
    <mergeCell ref="B2:C2"/>
  </mergeCells>
  <conditionalFormatting sqref="D59:J65">
    <cfRule type="cellIs" dxfId="33" priority="112" operator="greaterThan">
      <formula>2</formula>
    </cfRule>
    <cfRule type="cellIs" dxfId="32" priority="113" operator="lessThan">
      <formula>1</formula>
    </cfRule>
    <cfRule type="cellIs" dxfId="31" priority="114" operator="between">
      <formula>1</formula>
      <formula>2</formula>
    </cfRule>
  </conditionalFormatting>
  <conditionalFormatting sqref="D49:H49">
    <cfRule type="cellIs" dxfId="30" priority="108" operator="equal">
      <formula>"Stage 2 Brownout"</formula>
    </cfRule>
    <cfRule type="cellIs" dxfId="29" priority="109" operator="equal">
      <formula>"Stage 1 Brownout"</formula>
    </cfRule>
    <cfRule type="cellIs" dxfId="28" priority="110" operator="equal">
      <formula>"Blackout"</formula>
    </cfRule>
    <cfRule type="cellIs" dxfId="27" priority="111" operator="equal">
      <formula>"No"</formula>
    </cfRule>
  </conditionalFormatting>
  <conditionalFormatting sqref="D57:J57">
    <cfRule type="cellIs" dxfId="26" priority="105" operator="greaterThan">
      <formula>2</formula>
    </cfRule>
    <cfRule type="cellIs" dxfId="25" priority="106" operator="between">
      <formula>1</formula>
      <formula>2</formula>
    </cfRule>
    <cfRule type="cellIs" dxfId="24" priority="107" operator="lessThan">
      <formula>1</formula>
    </cfRule>
  </conditionalFormatting>
  <conditionalFormatting sqref="I49:J49">
    <cfRule type="cellIs" dxfId="23" priority="101" operator="equal">
      <formula>"Stage 2 Brownout"</formula>
    </cfRule>
    <cfRule type="cellIs" dxfId="22" priority="102" operator="equal">
      <formula>"Stage 1 Brownout"</formula>
    </cfRule>
    <cfRule type="cellIs" dxfId="21" priority="103" operator="equal">
      <formula>"Blackout"</formula>
    </cfRule>
    <cfRule type="cellIs" dxfId="20" priority="104" operator="equal">
      <formula>"No"</formula>
    </cfRule>
  </conditionalFormatting>
  <conditionalFormatting sqref="D55:J55">
    <cfRule type="cellIs" dxfId="19" priority="68" operator="equal">
      <formula>"Yes"</formula>
    </cfRule>
  </conditionalFormatting>
  <conditionalFormatting sqref="D58:J58">
    <cfRule type="cellIs" dxfId="18" priority="66" operator="equal">
      <formula>"No"</formula>
    </cfRule>
    <cfRule type="cellIs" dxfId="17" priority="67" operator="equal">
      <formula>"Yes"</formula>
    </cfRule>
  </conditionalFormatting>
  <dataValidations count="2">
    <dataValidation type="list" showInputMessage="1" showErrorMessage="1" sqref="D12:J12">
      <formula1>Contact</formula1>
    </dataValidation>
    <dataValidation type="list" showInputMessage="1" showErrorMessage="1" sqref="D4:J4">
      <formula1>Motors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4"/>
  <sheetViews>
    <sheetView showGridLines="0" zoomScaleNormal="100" workbookViewId="0">
      <selection activeCell="D4" sqref="D4"/>
    </sheetView>
  </sheetViews>
  <sheetFormatPr defaultRowHeight="15" x14ac:dyDescent="0.25"/>
  <cols>
    <col min="1" max="1" width="1.42578125" style="13" customWidth="1"/>
    <col min="2" max="2" width="46.42578125" style="1" customWidth="1"/>
    <col min="3" max="3" width="11.140625" style="2" customWidth="1"/>
    <col min="4" max="8" width="15.7109375" style="2" customWidth="1"/>
    <col min="9" max="16384" width="9.140625" style="13"/>
  </cols>
  <sheetData>
    <row r="1" spans="2:8" s="16" customFormat="1" ht="7.5" customHeight="1" thickBot="1" x14ac:dyDescent="0.3">
      <c r="B1" s="17"/>
      <c r="C1" s="17"/>
      <c r="D1" s="15"/>
      <c r="E1" s="15"/>
      <c r="F1" s="15"/>
      <c r="G1" s="15"/>
      <c r="H1" s="15"/>
    </row>
    <row r="2" spans="2:8" x14ac:dyDescent="0.25">
      <c r="B2" s="72" t="s">
        <v>0</v>
      </c>
      <c r="C2" s="73"/>
      <c r="D2" s="88" t="s">
        <v>154</v>
      </c>
      <c r="E2" s="88" t="s">
        <v>142</v>
      </c>
      <c r="F2" s="88" t="s">
        <v>162</v>
      </c>
      <c r="G2" s="88" t="s">
        <v>155</v>
      </c>
      <c r="H2" s="88" t="s">
        <v>153</v>
      </c>
    </row>
    <row r="3" spans="2:8" x14ac:dyDescent="0.25">
      <c r="B3" s="23"/>
      <c r="C3" s="24" t="s">
        <v>157</v>
      </c>
      <c r="D3" s="57" t="s">
        <v>102</v>
      </c>
      <c r="E3" s="57" t="s">
        <v>146</v>
      </c>
      <c r="F3" s="57" t="s">
        <v>146</v>
      </c>
      <c r="G3" s="57" t="s">
        <v>151</v>
      </c>
      <c r="H3" s="57" t="s">
        <v>153</v>
      </c>
    </row>
    <row r="4" spans="2:8" x14ac:dyDescent="0.25">
      <c r="B4" s="23" t="s">
        <v>17</v>
      </c>
      <c r="C4" s="24" t="s">
        <v>86</v>
      </c>
      <c r="D4" s="40" t="s">
        <v>7</v>
      </c>
      <c r="E4" s="40" t="s">
        <v>8</v>
      </c>
      <c r="F4" s="40" t="s">
        <v>6</v>
      </c>
      <c r="G4" s="40" t="s">
        <v>11</v>
      </c>
      <c r="H4" s="40" t="s">
        <v>8</v>
      </c>
    </row>
    <row r="5" spans="2:8" x14ac:dyDescent="0.25">
      <c r="B5" s="23" t="s">
        <v>14</v>
      </c>
      <c r="C5" s="24" t="s">
        <v>21</v>
      </c>
      <c r="D5" s="41">
        <f t="shared" ref="D5" si="0">VLOOKUP(D4,Specs,2,FALSE)</f>
        <v>13180</v>
      </c>
      <c r="E5" s="41">
        <f t="shared" ref="E5:F5" si="1">VLOOKUP(E4,Specs,2,FALSE)</f>
        <v>18730</v>
      </c>
      <c r="F5" s="41">
        <f t="shared" si="1"/>
        <v>5840</v>
      </c>
      <c r="G5" s="41">
        <f t="shared" ref="G5:H5" si="2">VLOOKUP(G4,Specs,2,FALSE)</f>
        <v>13050</v>
      </c>
      <c r="H5" s="41">
        <f t="shared" si="2"/>
        <v>18730</v>
      </c>
    </row>
    <row r="6" spans="2:8" x14ac:dyDescent="0.25">
      <c r="B6" s="23" t="s">
        <v>18</v>
      </c>
      <c r="C6" s="24" t="s">
        <v>22</v>
      </c>
      <c r="D6" s="43">
        <f t="shared" ref="D6" si="3">VLOOKUP(D4,Specs,3,FALSE)</f>
        <v>0.43</v>
      </c>
      <c r="E6" s="43">
        <f t="shared" ref="E6:F6" si="4">VLOOKUP(E4,Specs,3,FALSE)</f>
        <v>0.71</v>
      </c>
      <c r="F6" s="43">
        <f t="shared" si="4"/>
        <v>1.41</v>
      </c>
      <c r="G6" s="43">
        <f t="shared" ref="G6:H6" si="5">VLOOKUP(G4,Specs,3,FALSE)</f>
        <v>0.72</v>
      </c>
      <c r="H6" s="43">
        <f t="shared" si="5"/>
        <v>0.71</v>
      </c>
    </row>
    <row r="7" spans="2:8" x14ac:dyDescent="0.25">
      <c r="B7" s="23" t="s">
        <v>19</v>
      </c>
      <c r="C7" s="24" t="s">
        <v>23</v>
      </c>
      <c r="D7" s="41">
        <f t="shared" ref="D7" si="6">VLOOKUP(D4,Specs,4,FALSE)</f>
        <v>53</v>
      </c>
      <c r="E7" s="41">
        <f t="shared" ref="E7:F7" si="7">VLOOKUP(E4,Specs,4,FALSE)</f>
        <v>134</v>
      </c>
      <c r="F7" s="41">
        <f t="shared" si="7"/>
        <v>89</v>
      </c>
      <c r="G7" s="41">
        <f t="shared" ref="G7:H7" si="8">VLOOKUP(G4,Specs,4,FALSE)</f>
        <v>97</v>
      </c>
      <c r="H7" s="41">
        <f t="shared" si="8"/>
        <v>134</v>
      </c>
    </row>
    <row r="8" spans="2:8" x14ac:dyDescent="0.25">
      <c r="B8" s="23" t="s">
        <v>20</v>
      </c>
      <c r="C8" s="24" t="s">
        <v>23</v>
      </c>
      <c r="D8" s="43">
        <f t="shared" ref="D8" si="9">VLOOKUP(D4,Specs,5,FALSE)</f>
        <v>1.8</v>
      </c>
      <c r="E8" s="43">
        <f t="shared" ref="E8:F8" si="10">VLOOKUP(E4,Specs,5,FALSE)</f>
        <v>0.7</v>
      </c>
      <c r="F8" s="43">
        <f t="shared" si="10"/>
        <v>3</v>
      </c>
      <c r="G8" s="43">
        <f t="shared" ref="G8:H8" si="11">VLOOKUP(G4,Specs,5,FALSE)</f>
        <v>2.7</v>
      </c>
      <c r="H8" s="43">
        <f t="shared" si="11"/>
        <v>0.7</v>
      </c>
    </row>
    <row r="9" spans="2:8" x14ac:dyDescent="0.25">
      <c r="B9" s="23" t="s">
        <v>133</v>
      </c>
      <c r="C9" s="24" t="s">
        <v>125</v>
      </c>
      <c r="D9" s="43">
        <v>15</v>
      </c>
      <c r="E9" s="43">
        <v>30</v>
      </c>
      <c r="F9" s="43">
        <v>154</v>
      </c>
      <c r="G9" s="43">
        <v>10</v>
      </c>
      <c r="H9" s="43">
        <v>10</v>
      </c>
    </row>
    <row r="10" spans="2:8" x14ac:dyDescent="0.25">
      <c r="B10" s="23" t="s">
        <v>141</v>
      </c>
      <c r="C10" s="24" t="s">
        <v>128</v>
      </c>
      <c r="D10" s="49">
        <v>15</v>
      </c>
      <c r="E10" s="49">
        <v>0.625</v>
      </c>
      <c r="F10" s="49">
        <v>0.625</v>
      </c>
      <c r="G10" s="49">
        <v>0.6875</v>
      </c>
      <c r="H10" s="49">
        <v>2</v>
      </c>
    </row>
    <row r="11" spans="2:8" x14ac:dyDescent="0.25">
      <c r="B11" s="23" t="s">
        <v>143</v>
      </c>
      <c r="C11" s="24" t="s">
        <v>128</v>
      </c>
      <c r="D11" s="43">
        <v>30</v>
      </c>
      <c r="E11" s="43">
        <v>60</v>
      </c>
      <c r="F11" s="43">
        <v>48</v>
      </c>
      <c r="G11" s="43">
        <v>20</v>
      </c>
      <c r="H11" s="43">
        <v>120</v>
      </c>
    </row>
    <row r="12" spans="2:8" x14ac:dyDescent="0.25">
      <c r="B12" s="23" t="s">
        <v>152</v>
      </c>
      <c r="C12" s="24" t="s">
        <v>67</v>
      </c>
      <c r="D12" s="41">
        <v>1</v>
      </c>
      <c r="E12" s="41">
        <v>1</v>
      </c>
      <c r="F12" s="41">
        <v>2</v>
      </c>
      <c r="G12" s="41">
        <v>1</v>
      </c>
      <c r="H12" s="41">
        <v>2</v>
      </c>
    </row>
    <row r="13" spans="2:8" x14ac:dyDescent="0.25">
      <c r="B13" s="23" t="s">
        <v>27</v>
      </c>
      <c r="C13" s="24" t="s">
        <v>67</v>
      </c>
      <c r="D13" s="41">
        <v>1</v>
      </c>
      <c r="E13" s="41">
        <v>1</v>
      </c>
      <c r="F13" s="41">
        <v>1</v>
      </c>
      <c r="G13" s="41">
        <v>1</v>
      </c>
      <c r="H13" s="41">
        <v>2</v>
      </c>
    </row>
    <row r="14" spans="2:8" x14ac:dyDescent="0.25">
      <c r="B14" s="23" t="s">
        <v>28</v>
      </c>
      <c r="C14" s="24" t="s">
        <v>67</v>
      </c>
      <c r="D14" s="41">
        <v>1</v>
      </c>
      <c r="E14" s="41">
        <v>2</v>
      </c>
      <c r="F14" s="41">
        <v>2</v>
      </c>
      <c r="G14" s="41">
        <v>1</v>
      </c>
      <c r="H14" s="41">
        <v>1</v>
      </c>
    </row>
    <row r="15" spans="2:8" x14ac:dyDescent="0.25">
      <c r="B15" s="23" t="s">
        <v>34</v>
      </c>
      <c r="C15" s="24" t="s">
        <v>31</v>
      </c>
      <c r="D15" s="46">
        <v>0.9</v>
      </c>
      <c r="E15" s="46">
        <v>0.9</v>
      </c>
      <c r="F15" s="46">
        <v>0.9</v>
      </c>
      <c r="G15" s="46">
        <v>0.9</v>
      </c>
      <c r="H15" s="46">
        <v>0.9</v>
      </c>
    </row>
    <row r="16" spans="2:8" x14ac:dyDescent="0.25">
      <c r="B16" s="23" t="s">
        <v>13</v>
      </c>
      <c r="C16" s="24" t="s">
        <v>31</v>
      </c>
      <c r="D16" s="45">
        <v>0.95</v>
      </c>
      <c r="E16" s="45">
        <v>0.95</v>
      </c>
      <c r="F16" s="45">
        <v>0.95</v>
      </c>
      <c r="G16" s="45">
        <v>0.95</v>
      </c>
      <c r="H16" s="45">
        <v>0.95</v>
      </c>
    </row>
    <row r="17" spans="2:8" x14ac:dyDescent="0.25">
      <c r="B17" s="23" t="s">
        <v>35</v>
      </c>
      <c r="C17" s="24" t="s">
        <v>25</v>
      </c>
      <c r="D17" s="41">
        <v>1</v>
      </c>
      <c r="E17" s="41">
        <v>1</v>
      </c>
      <c r="F17" s="41">
        <v>1</v>
      </c>
      <c r="G17" s="41">
        <v>1</v>
      </c>
      <c r="H17" s="41">
        <v>1</v>
      </c>
    </row>
    <row r="18" spans="2:8" x14ac:dyDescent="0.25">
      <c r="B18" s="23" t="s">
        <v>36</v>
      </c>
      <c r="C18" s="24" t="s">
        <v>25</v>
      </c>
      <c r="D18" s="41">
        <v>10</v>
      </c>
      <c r="E18" s="41">
        <v>7</v>
      </c>
      <c r="F18" s="41">
        <v>3</v>
      </c>
      <c r="G18" s="41">
        <v>2</v>
      </c>
      <c r="H18" s="41">
        <v>5</v>
      </c>
    </row>
    <row r="19" spans="2:8" x14ac:dyDescent="0.25">
      <c r="B19" s="23" t="s">
        <v>37</v>
      </c>
      <c r="C19" s="24" t="s">
        <v>25</v>
      </c>
      <c r="D19" s="41">
        <v>1</v>
      </c>
      <c r="E19" s="41">
        <v>1</v>
      </c>
      <c r="F19" s="41">
        <v>1</v>
      </c>
      <c r="G19" s="41">
        <v>1</v>
      </c>
      <c r="H19" s="41">
        <v>1</v>
      </c>
    </row>
    <row r="20" spans="2:8" x14ac:dyDescent="0.25">
      <c r="B20" s="23" t="s">
        <v>38</v>
      </c>
      <c r="C20" s="24" t="s">
        <v>25</v>
      </c>
      <c r="D20" s="41">
        <v>10</v>
      </c>
      <c r="E20" s="41">
        <v>1</v>
      </c>
      <c r="F20" s="41">
        <v>5</v>
      </c>
      <c r="G20" s="41">
        <v>5</v>
      </c>
      <c r="H20" s="41">
        <v>1</v>
      </c>
    </row>
    <row r="21" spans="2:8" x14ac:dyDescent="0.25">
      <c r="B21" s="23" t="s">
        <v>39</v>
      </c>
      <c r="C21" s="24" t="s">
        <v>25</v>
      </c>
      <c r="D21" s="41">
        <v>1</v>
      </c>
      <c r="E21" s="41">
        <v>1</v>
      </c>
      <c r="F21" s="41">
        <v>1</v>
      </c>
      <c r="G21" s="41">
        <v>1</v>
      </c>
      <c r="H21" s="41">
        <v>1</v>
      </c>
    </row>
    <row r="22" spans="2:8" x14ac:dyDescent="0.25">
      <c r="B22" s="23" t="s">
        <v>40</v>
      </c>
      <c r="C22" s="24" t="s">
        <v>25</v>
      </c>
      <c r="D22" s="41">
        <v>1</v>
      </c>
      <c r="E22" s="41">
        <v>1</v>
      </c>
      <c r="F22" s="41">
        <v>1</v>
      </c>
      <c r="G22" s="41">
        <v>1</v>
      </c>
      <c r="H22" s="41">
        <v>1</v>
      </c>
    </row>
    <row r="23" spans="2:8" x14ac:dyDescent="0.25">
      <c r="B23" s="23" t="s">
        <v>42</v>
      </c>
      <c r="C23" s="24" t="s">
        <v>25</v>
      </c>
      <c r="D23" s="41">
        <v>15</v>
      </c>
      <c r="E23" s="41">
        <v>18</v>
      </c>
      <c r="F23" s="41">
        <v>18</v>
      </c>
      <c r="G23" s="41">
        <v>18</v>
      </c>
      <c r="H23" s="41">
        <v>18</v>
      </c>
    </row>
    <row r="24" spans="2:8" x14ac:dyDescent="0.25">
      <c r="B24" s="23" t="s">
        <v>43</v>
      </c>
      <c r="C24" s="24" t="s">
        <v>25</v>
      </c>
      <c r="D24" s="41">
        <v>60</v>
      </c>
      <c r="E24" s="41">
        <v>18</v>
      </c>
      <c r="F24" s="41">
        <v>18</v>
      </c>
      <c r="G24" s="41">
        <v>18</v>
      </c>
      <c r="H24" s="41">
        <v>18</v>
      </c>
    </row>
    <row r="25" spans="2:8" ht="15.75" thickBot="1" x14ac:dyDescent="0.3">
      <c r="B25" s="26" t="s">
        <v>171</v>
      </c>
      <c r="C25" s="27" t="s">
        <v>128</v>
      </c>
      <c r="D25" s="60">
        <v>0.375</v>
      </c>
      <c r="E25" s="60">
        <v>0.19685049999999998</v>
      </c>
      <c r="F25" s="60">
        <v>0.19685049999999998</v>
      </c>
      <c r="G25" s="60">
        <v>0.19685049999999998</v>
      </c>
      <c r="H25" s="60">
        <v>0.19685049999999998</v>
      </c>
    </row>
    <row r="28" spans="2:8" ht="15.75" thickBot="1" x14ac:dyDescent="0.3"/>
    <row r="29" spans="2:8" x14ac:dyDescent="0.25">
      <c r="B29" s="70" t="s">
        <v>53</v>
      </c>
      <c r="C29" s="71"/>
    </row>
    <row r="30" spans="2:8" x14ac:dyDescent="0.25">
      <c r="B30" s="19" t="s">
        <v>45</v>
      </c>
      <c r="C30" s="20"/>
      <c r="D30" s="33">
        <f>(D18/D17)*(D20/D19)*(D22/D21)</f>
        <v>100</v>
      </c>
      <c r="E30" s="33">
        <f>(E18/E17)*(E20/E19)*(E22/E21)</f>
        <v>7</v>
      </c>
      <c r="F30" s="33">
        <f>(F18/F17)*(F20/F19)*(F22/F21)</f>
        <v>15</v>
      </c>
      <c r="G30" s="33">
        <f>(G18/G17)*(G20/G19)*(G22/G21)</f>
        <v>10</v>
      </c>
      <c r="H30" s="33">
        <f>(H18/H17)*(H20/H19)*(H22/H21)</f>
        <v>5</v>
      </c>
    </row>
    <row r="31" spans="2:8" x14ac:dyDescent="0.25">
      <c r="B31" s="19" t="s">
        <v>55</v>
      </c>
      <c r="C31" s="20"/>
      <c r="D31" s="33">
        <f>D30*(D24/D23)</f>
        <v>400</v>
      </c>
      <c r="E31" s="33">
        <f>E30*(E24/E23)</f>
        <v>7</v>
      </c>
      <c r="F31" s="33">
        <f>F30*(F24/F23)</f>
        <v>15</v>
      </c>
      <c r="G31" s="33">
        <f>G30*(G24/G23)</f>
        <v>10</v>
      </c>
      <c r="H31" s="33">
        <f>H30*(H24/H23)</f>
        <v>5</v>
      </c>
    </row>
    <row r="32" spans="2:8" x14ac:dyDescent="0.25">
      <c r="B32" s="19" t="s">
        <v>150</v>
      </c>
      <c r="C32" s="20" t="s">
        <v>31</v>
      </c>
      <c r="D32" s="34">
        <f>((IF((D18+D17)&gt;2,D15,1 ))*(IF((D20+D19)&gt;2,D15,1))*(IF((D22+D21)&gt;2,D15,1))*(IF((D23+D24)&gt;2,D16,1)))</f>
        <v>0.76949999999999996</v>
      </c>
      <c r="E32" s="34">
        <f>((IF((E18+E17)&gt;2,E15,1 ))*(IF((E20+E19)&gt;2,E15,1))*(IF((E22+E21)&gt;2,E15,1))*(IF((E23+E24)&gt;2,E16,1)))</f>
        <v>0.85499999999999998</v>
      </c>
      <c r="F32" s="34">
        <f>((IF((F18+F17)&gt;2,F15,1 ))*(IF((F20+F19)&gt;2,F15,1))*(IF((F22+F21)&gt;2,F15,1))*(IF((F23+F24)&gt;2,F16,1)))</f>
        <v>0.76949999999999996</v>
      </c>
      <c r="G32" s="34">
        <f>((IF((G18+G17)&gt;2,G15,1 ))*(IF((G20+G19)&gt;2,G15,1))*(IF((G22+G21)&gt;2,G15,1))*(IF((G23+G24)&gt;2,G16,1)))</f>
        <v>0.76949999999999996</v>
      </c>
      <c r="H32" s="34">
        <f>((IF((H18+H17)&gt;2,H15,1 ))*(IF((H20+H19)&gt;2,H15,1))*(IF((H22+H21)&gt;2,H15,1))*(IF((H23+H24)&gt;2,H16,1)))</f>
        <v>0.85499999999999998</v>
      </c>
    </row>
    <row r="33" spans="2:8" x14ac:dyDescent="0.25">
      <c r="B33" s="19" t="s">
        <v>138</v>
      </c>
      <c r="C33" s="20" t="s">
        <v>125</v>
      </c>
      <c r="D33" s="35">
        <f>(D6*D13*D14)*(D31)*8.8507457792*D32/D10</f>
        <v>78.095440457349113</v>
      </c>
      <c r="E33" s="35">
        <f>(E6*E13*E14)*(E31)*8.8507457792*E32/E10</f>
        <v>120.35173304589925</v>
      </c>
      <c r="F33" s="35">
        <f>(F6*F13*F14)*(F31)*8.8507457792*F32/F10</f>
        <v>460.94471600174893</v>
      </c>
      <c r="G33" s="35">
        <f>(G6*G13*G14)*(G31)*8.8507457792*G32/G10</f>
        <v>71.326068240115887</v>
      </c>
      <c r="H33" s="35">
        <f>(H6*H13*H14)*(H31)*8.8507457792*H32/H10</f>
        <v>26.864226126316801</v>
      </c>
    </row>
    <row r="34" spans="2:8" x14ac:dyDescent="0.25">
      <c r="B34" s="19" t="s">
        <v>14</v>
      </c>
      <c r="C34" s="20" t="s">
        <v>52</v>
      </c>
      <c r="D34" s="33">
        <f>((D5/D31)*(PI()*((D10*2)/12))/60)</f>
        <v>4.3131449139909872</v>
      </c>
      <c r="E34" s="33">
        <f>((E5/E31)*(PI()*((E10*2)/12))/60)</f>
        <v>14.593757540113302</v>
      </c>
      <c r="F34" s="33">
        <f>((F5/F31)*(PI()*((F10*2)/12))/60)</f>
        <v>2.1234839232597675</v>
      </c>
      <c r="G34" s="33">
        <f>((G5/G31)*(PI()*((G10*2)/12))/60)</f>
        <v>7.8294379413683117</v>
      </c>
      <c r="H34" s="33">
        <f>((H5/H31)*(PI()*((H10*2)/12))/60)</f>
        <v>65.380033779707574</v>
      </c>
    </row>
    <row r="35" spans="2:8" x14ac:dyDescent="0.25">
      <c r="B35" s="19" t="s">
        <v>147</v>
      </c>
      <c r="C35" s="20" t="s">
        <v>52</v>
      </c>
      <c r="D35" s="33">
        <f>(-1)*(D34/D33)*D9+D34</f>
        <v>3.4847076412004152</v>
      </c>
      <c r="E35" s="33">
        <f>(-1)*(E34/E33)*E9+E34</f>
        <v>10.955980873977321</v>
      </c>
      <c r="F35" s="33">
        <f>(-1)*(F34/F33)*F9+F34</f>
        <v>1.4140354518279712</v>
      </c>
      <c r="G35" s="33">
        <f>(-1)*(G34/G33)*G9+G34</f>
        <v>6.7317413860204312</v>
      </c>
      <c r="H35" s="33">
        <f>(-1)*(H34/H33)*H9+H34</f>
        <v>41.042822846369049</v>
      </c>
    </row>
    <row r="36" spans="2:8" x14ac:dyDescent="0.25">
      <c r="B36" s="19" t="s">
        <v>144</v>
      </c>
      <c r="C36" s="20" t="s">
        <v>145</v>
      </c>
      <c r="D36" s="33">
        <f t="shared" ref="D36:H37" si="12">1/((D34*12)/D$11)</f>
        <v>0.57962346497807105</v>
      </c>
      <c r="E36" s="33">
        <f t="shared" si="12"/>
        <v>0.3426122426836743</v>
      </c>
      <c r="F36" s="33">
        <f t="shared" si="12"/>
        <v>1.8836968607040765</v>
      </c>
      <c r="G36" s="33">
        <f t="shared" si="12"/>
        <v>0.21287181521173046</v>
      </c>
      <c r="H36" s="33">
        <f t="shared" si="12"/>
        <v>0.15295189405521178</v>
      </c>
    </row>
    <row r="37" spans="2:8" x14ac:dyDescent="0.25">
      <c r="B37" s="19" t="s">
        <v>148</v>
      </c>
      <c r="C37" s="20" t="s">
        <v>145</v>
      </c>
      <c r="D37" s="33">
        <f t="shared" si="12"/>
        <v>0.71742029960906495</v>
      </c>
      <c r="E37" s="33">
        <f t="shared" si="12"/>
        <v>0.45637173499234701</v>
      </c>
      <c r="F37" s="33">
        <f t="shared" si="12"/>
        <v>2.8287833907057034</v>
      </c>
      <c r="G37" s="33">
        <f t="shared" si="12"/>
        <v>0.24758328805200008</v>
      </c>
      <c r="H37" s="33">
        <f t="shared" si="12"/>
        <v>0.24364795855859789</v>
      </c>
    </row>
    <row r="38" spans="2:8" x14ac:dyDescent="0.25">
      <c r="B38" s="19" t="s">
        <v>139</v>
      </c>
      <c r="C38" s="20" t="s">
        <v>137</v>
      </c>
      <c r="D38" s="56">
        <f>D5*(1/D31)*(360/60)</f>
        <v>197.70000000000002</v>
      </c>
      <c r="E38" s="56">
        <f>E5*(1/E31)*(360/60)</f>
        <v>16054.285714285714</v>
      </c>
      <c r="F38" s="56">
        <f>F5*(1/F31)*(360/60)</f>
        <v>2336</v>
      </c>
      <c r="G38" s="56">
        <f>G5*(1/G31)*(360/60)</f>
        <v>7830</v>
      </c>
      <c r="H38" s="56">
        <f>H5*(1/H31)*(360/60)</f>
        <v>22476</v>
      </c>
    </row>
    <row r="39" spans="2:8" x14ac:dyDescent="0.25">
      <c r="B39" s="19" t="s">
        <v>136</v>
      </c>
      <c r="C39" s="20" t="s">
        <v>137</v>
      </c>
      <c r="D39" s="56">
        <f>(-1)*(D38/D33)*D9+D38</f>
        <v>159.72723254221773</v>
      </c>
      <c r="E39" s="56">
        <f>(-1)*(E38/E33)*E9+E38</f>
        <v>12052.444118495067</v>
      </c>
      <c r="F39" s="56">
        <f>(-1)*(F38/F33)*F9+F38</f>
        <v>1555.55065865505</v>
      </c>
      <c r="G39" s="56">
        <f>(-1)*(G38/G33)*G9+G38</f>
        <v>6732.2246433603113</v>
      </c>
      <c r="H39" s="56">
        <f>(-1)*(H38/H33)*H9+H38</f>
        <v>14109.483170400355</v>
      </c>
    </row>
    <row r="40" spans="2:8" x14ac:dyDescent="0.25">
      <c r="B40" s="19" t="s">
        <v>156</v>
      </c>
      <c r="C40" s="20" t="s">
        <v>145</v>
      </c>
      <c r="D40" s="33">
        <f>90/D38</f>
        <v>0.45523520485584212</v>
      </c>
      <c r="E40" s="33">
        <f t="shared" ref="E40:F40" si="13">90/E38</f>
        <v>5.605979711692472E-3</v>
      </c>
      <c r="F40" s="33">
        <f t="shared" si="13"/>
        <v>3.8527397260273974E-2</v>
      </c>
      <c r="G40" s="33">
        <f t="shared" ref="G40:H40" si="14">90/G38</f>
        <v>1.1494252873563218E-2</v>
      </c>
      <c r="H40" s="33">
        <f t="shared" si="14"/>
        <v>4.0042712226374799E-3</v>
      </c>
    </row>
    <row r="41" spans="2:8" x14ac:dyDescent="0.25">
      <c r="B41" s="19" t="s">
        <v>149</v>
      </c>
      <c r="C41" s="20" t="s">
        <v>145</v>
      </c>
      <c r="D41" s="33">
        <f>90/D39</f>
        <v>0.56346058569700674</v>
      </c>
      <c r="E41" s="33">
        <f t="shared" ref="E41:F41" si="15">90/E39</f>
        <v>7.4673650518645085E-3</v>
      </c>
      <c r="F41" s="33">
        <f t="shared" si="15"/>
        <v>5.7857324992434005E-2</v>
      </c>
      <c r="G41" s="33">
        <f t="shared" ref="G41:H41" si="16">90/G39</f>
        <v>1.336853785602103E-2</v>
      </c>
      <c r="H41" s="33">
        <f t="shared" si="16"/>
        <v>6.3786886389153447E-3</v>
      </c>
    </row>
    <row r="42" spans="2:8" x14ac:dyDescent="0.25">
      <c r="B42" s="19" t="s">
        <v>134</v>
      </c>
      <c r="C42" s="20" t="s">
        <v>23</v>
      </c>
      <c r="D42" s="35">
        <f>((((D7*D13*D14)-(D8*D13*D14))/(D6*D13*D14))*(D10*D9*(1/D31)/8.850745792)+(D8*D13*D14))/(D13*D14)</f>
        <v>9.3673559901116317</v>
      </c>
      <c r="E42" s="35">
        <f>((((E7*E13*E14)-(E8*E13*E14))/(E6*E13*E14))*(E10*E9*(1/E31)/8.850745792)+(E8*E13*E14))/(E13*E14)</f>
        <v>29.109603322880549</v>
      </c>
      <c r="F42" s="35">
        <f>((((F7*F13*F14)-(F8*F13*F14))/(F6*F13*F14))*(F10*F9*(1/F31)/8.850745792)+(F8*F13*F14))/(F13*F14)</f>
        <v>25.109501706974065</v>
      </c>
      <c r="G42" s="35">
        <f>((((G7*G13*G14)-(G8*G13*G14))/(G6*G13*G14))*(G10*G9*(1/G31)/8.850745792)+(G8*G13*G14))/(G13*G14)</f>
        <v>12.873538467138676</v>
      </c>
      <c r="H42" s="35">
        <f>((((H7*H13*H14)-(H8*H13*H14))/(H6*H13*H14))*(H10*H9*(1/H31)/8.850745792)+(H8*H13*H14))/(H13*H14)</f>
        <v>43.125007628834965</v>
      </c>
    </row>
    <row r="43" spans="2:8" x14ac:dyDescent="0.25">
      <c r="B43" s="19" t="s">
        <v>135</v>
      </c>
      <c r="C43" s="20" t="s">
        <v>23</v>
      </c>
      <c r="D43" s="35">
        <f>D42*(D14*D13)</f>
        <v>9.3673559901116317</v>
      </c>
      <c r="E43" s="35">
        <f>E42*(E14*E13)</f>
        <v>58.219206645761098</v>
      </c>
      <c r="F43" s="35">
        <f>F42*(F14*F13)</f>
        <v>50.21900341394813</v>
      </c>
      <c r="G43" s="35">
        <f>G42*(G14*G13)</f>
        <v>12.873538467138676</v>
      </c>
      <c r="H43" s="35">
        <f>H42*(H14*H13)</f>
        <v>86.250015257669929</v>
      </c>
    </row>
    <row r="44" spans="2:8" x14ac:dyDescent="0.25">
      <c r="B44" s="19" t="s">
        <v>16</v>
      </c>
      <c r="C44" s="20" t="s">
        <v>128</v>
      </c>
      <c r="D44" s="58">
        <f>D23*D25/PI()</f>
        <v>1.7904931097838226</v>
      </c>
      <c r="E44" s="58">
        <f>E23*E25/PI()</f>
        <v>1.1278702845040012</v>
      </c>
      <c r="F44" s="58">
        <f>F23*F25/PI()</f>
        <v>1.1278702845040012</v>
      </c>
      <c r="G44" s="58">
        <f>G23*G25/PI()</f>
        <v>1.1278702845040012</v>
      </c>
      <c r="H44" s="58">
        <f>H23*H25/PI()</f>
        <v>1.1278702845040012</v>
      </c>
    </row>
    <row r="45" spans="2:8" x14ac:dyDescent="0.25">
      <c r="B45" s="19" t="s">
        <v>140</v>
      </c>
      <c r="C45" s="20" t="s">
        <v>128</v>
      </c>
      <c r="D45" s="58">
        <f>D24*D25/PI()</f>
        <v>7.1619724391352904</v>
      </c>
      <c r="E45" s="58">
        <f>E24*E25/PI()</f>
        <v>1.1278702845040012</v>
      </c>
      <c r="F45" s="58">
        <f>F24*F25/PI()</f>
        <v>1.1278702845040012</v>
      </c>
      <c r="G45" s="58">
        <f>G24*G25/PI()</f>
        <v>1.1278702845040012</v>
      </c>
      <c r="H45" s="58">
        <f>H24*H25/PI()</f>
        <v>1.1278702845040012</v>
      </c>
    </row>
    <row r="46" spans="2:8" x14ac:dyDescent="0.25">
      <c r="B46" s="19" t="s">
        <v>158</v>
      </c>
      <c r="C46" s="20" t="s">
        <v>125</v>
      </c>
      <c r="D46" s="35">
        <f>((D33*D10*(D30/D31))/D44)/D12</f>
        <v>163.5627080131114</v>
      </c>
      <c r="E46" s="35">
        <f>((E33*E10*(E30/E31))/E44)/E12</f>
        <v>66.691918554061516</v>
      </c>
      <c r="F46" s="35">
        <f>((F33*F10*(F30/F31))/F44)/F12</f>
        <v>127.71435308617312</v>
      </c>
      <c r="G46" s="35">
        <f>((G33*G10*(G30/G31))/G44)/G12</f>
        <v>43.477226582527017</v>
      </c>
      <c r="H46" s="35">
        <f>((H33*H10*(H30/H31))/H44)/H12</f>
        <v>23.818542340736258</v>
      </c>
    </row>
    <row r="47" spans="2:8" x14ac:dyDescent="0.25">
      <c r="B47" s="19" t="s">
        <v>159</v>
      </c>
      <c r="C47" s="20" t="s">
        <v>125</v>
      </c>
      <c r="D47" s="35">
        <f>((D10/D45)*D9)/D12</f>
        <v>31.415926535897928</v>
      </c>
      <c r="E47" s="35">
        <f>((E10/E45)*E9)/E12</f>
        <v>16.624252148149829</v>
      </c>
      <c r="F47" s="35">
        <f>((F10/F45)*F9)/F12</f>
        <v>42.668913846917889</v>
      </c>
      <c r="G47" s="35">
        <f>((G10/G45)*G9)/G12</f>
        <v>6.0955591209882707</v>
      </c>
      <c r="H47" s="35">
        <f>((H10/H45)*H9)/H12</f>
        <v>8.8662678123465746</v>
      </c>
    </row>
    <row r="48" spans="2:8" x14ac:dyDescent="0.25">
      <c r="B48" s="19" t="s">
        <v>64</v>
      </c>
      <c r="C48" s="20" t="s">
        <v>63</v>
      </c>
      <c r="D48" s="37">
        <f>140/(MIN(D46:D47))</f>
        <v>4.45633840657307</v>
      </c>
      <c r="E48" s="37">
        <f>140/(MIN(E46:E47))</f>
        <v>8.4214314576298754</v>
      </c>
      <c r="F48" s="37">
        <f>140/(MIN(F46:F47))</f>
        <v>3.2810771912843673</v>
      </c>
      <c r="G48" s="37">
        <f>140/(MIN(G46:G47))</f>
        <v>22.96754033899057</v>
      </c>
      <c r="H48" s="37">
        <f>140/(MIN(H46:H47))</f>
        <v>15.790183983056018</v>
      </c>
    </row>
    <row r="49" spans="2:8" x14ac:dyDescent="0.25">
      <c r="B49" s="19" t="s">
        <v>65</v>
      </c>
      <c r="C49" s="20" t="s">
        <v>63</v>
      </c>
      <c r="D49" s="33">
        <f>190/(MIN(D46:D47))</f>
        <v>6.0478878374920235</v>
      </c>
      <c r="E49" s="33">
        <f>190/(MIN(E46:E47))</f>
        <v>11.429085549640545</v>
      </c>
      <c r="F49" s="33">
        <f>190/(MIN(F46:F47))</f>
        <v>4.452890473885927</v>
      </c>
      <c r="G49" s="33">
        <f>190/(MIN(G46:G47))</f>
        <v>31.170233317201486</v>
      </c>
      <c r="H49" s="33">
        <f>190/(MIN(H46:H47))</f>
        <v>21.429535405576026</v>
      </c>
    </row>
    <row r="50" spans="2:8" x14ac:dyDescent="0.25">
      <c r="B50" s="19" t="s">
        <v>66</v>
      </c>
      <c r="C50" s="20" t="s">
        <v>63</v>
      </c>
      <c r="D50" s="37">
        <f>480/(MIN(D46:D47))</f>
        <v>15.278874536821954</v>
      </c>
      <c r="E50" s="37">
        <f>480/(MIN(E46:E47))</f>
        <v>28.87347928330243</v>
      </c>
      <c r="F50" s="37">
        <f>480/(MIN(F46:F47))</f>
        <v>11.249407512974974</v>
      </c>
      <c r="G50" s="37">
        <f>480/(MIN(G46:G47))</f>
        <v>78.745852590824811</v>
      </c>
      <c r="H50" s="37">
        <f>480/(MIN(H46:H47))</f>
        <v>54.13777365619206</v>
      </c>
    </row>
    <row r="51" spans="2:8" x14ac:dyDescent="0.25">
      <c r="B51" s="19" t="s">
        <v>87</v>
      </c>
      <c r="C51" s="20" t="s">
        <v>63</v>
      </c>
      <c r="D51" s="37">
        <f>36.1/(MIN(D46:D47))</f>
        <v>1.1490986891234845</v>
      </c>
      <c r="E51" s="37">
        <f t="shared" ref="E51:H51" si="17">36.1/(MIN(E46:E47))</f>
        <v>2.1715262544317038</v>
      </c>
      <c r="F51" s="37">
        <f t="shared" si="17"/>
        <v>0.84604919003832624</v>
      </c>
      <c r="G51" s="37">
        <f t="shared" si="17"/>
        <v>5.9223443302682828</v>
      </c>
      <c r="H51" s="37">
        <f t="shared" si="17"/>
        <v>4.0716117270594445</v>
      </c>
    </row>
    <row r="52" spans="2:8" x14ac:dyDescent="0.25">
      <c r="B52" s="19" t="s">
        <v>88</v>
      </c>
      <c r="C52" s="20" t="s">
        <v>63</v>
      </c>
      <c r="D52" s="37">
        <f>60.2/(MIN(D46:D47))</f>
        <v>1.9162255148264202</v>
      </c>
      <c r="E52" s="37">
        <f t="shared" ref="E52:H52" si="18">60.2/(MIN(E46:E47))</f>
        <v>3.6212155267808468</v>
      </c>
      <c r="F52" s="37">
        <f t="shared" si="18"/>
        <v>1.4108631922522781</v>
      </c>
      <c r="G52" s="37">
        <f t="shared" si="18"/>
        <v>9.8760423457659456</v>
      </c>
      <c r="H52" s="37">
        <f t="shared" si="18"/>
        <v>6.7897791127140881</v>
      </c>
    </row>
    <row r="53" spans="2:8" x14ac:dyDescent="0.25">
      <c r="B53" s="19" t="s">
        <v>89</v>
      </c>
      <c r="C53" s="20" t="s">
        <v>63</v>
      </c>
      <c r="D53" s="37">
        <f>56.6/(MIN(D46:D47))</f>
        <v>1.8016339558002554</v>
      </c>
      <c r="E53" s="37">
        <f t="shared" ref="E53:H53" si="19">56.6/(MIN(E46:E47))</f>
        <v>3.4046644321560784</v>
      </c>
      <c r="F53" s="37">
        <f t="shared" si="19"/>
        <v>1.3264926359049658</v>
      </c>
      <c r="G53" s="37">
        <f t="shared" si="19"/>
        <v>9.2854484513347586</v>
      </c>
      <c r="H53" s="37">
        <f t="shared" si="19"/>
        <v>6.3837458102926474</v>
      </c>
    </row>
    <row r="54" spans="2:8" ht="15.75" thickBot="1" x14ac:dyDescent="0.3">
      <c r="B54" s="21" t="s">
        <v>90</v>
      </c>
      <c r="C54" s="22" t="s">
        <v>63</v>
      </c>
      <c r="D54" s="37">
        <f>94.4/(MIN(D46:D47))</f>
        <v>3.0048453255749847</v>
      </c>
      <c r="E54" s="37">
        <f t="shared" ref="E54:H54" si="20">94.4/(MIN(E46:E47))</f>
        <v>5.6784509257161453</v>
      </c>
      <c r="F54" s="37">
        <f t="shared" si="20"/>
        <v>2.2123834775517452</v>
      </c>
      <c r="G54" s="37">
        <f t="shared" si="20"/>
        <v>15.486684342862214</v>
      </c>
      <c r="H54" s="37">
        <f t="shared" si="20"/>
        <v>10.647095485717772</v>
      </c>
    </row>
  </sheetData>
  <mergeCells count="2">
    <mergeCell ref="B2:C2"/>
    <mergeCell ref="B29:C29"/>
  </mergeCells>
  <conditionalFormatting sqref="D48:D54 E51:H54">
    <cfRule type="cellIs" dxfId="16" priority="41" operator="greaterThan">
      <formula>2</formula>
    </cfRule>
    <cfRule type="cellIs" dxfId="15" priority="42" operator="lessThan">
      <formula>1</formula>
    </cfRule>
    <cfRule type="cellIs" dxfId="14" priority="43" operator="between">
      <formula>1</formula>
      <formula>2</formula>
    </cfRule>
  </conditionalFormatting>
  <conditionalFormatting sqref="F48:F50">
    <cfRule type="cellIs" dxfId="13" priority="15" operator="greaterThan">
      <formula>2</formula>
    </cfRule>
    <cfRule type="cellIs" dxfId="12" priority="16" operator="lessThan">
      <formula>1</formula>
    </cfRule>
    <cfRule type="cellIs" dxfId="11" priority="17" operator="between">
      <formula>1</formula>
      <formula>2</formula>
    </cfRule>
  </conditionalFormatting>
  <conditionalFormatting sqref="G48:G50">
    <cfRule type="cellIs" dxfId="10" priority="9" operator="greaterThan">
      <formula>2</formula>
    </cfRule>
    <cfRule type="cellIs" dxfId="9" priority="10" operator="lessThan">
      <formula>1</formula>
    </cfRule>
    <cfRule type="cellIs" dxfId="8" priority="11" operator="between">
      <formula>1</formula>
      <formula>2</formula>
    </cfRule>
  </conditionalFormatting>
  <conditionalFormatting sqref="H48:H50">
    <cfRule type="cellIs" dxfId="7" priority="6" operator="greaterThan">
      <formula>2</formula>
    </cfRule>
    <cfRule type="cellIs" dxfId="6" priority="7" operator="lessThan">
      <formula>1</formula>
    </cfRule>
    <cfRule type="cellIs" dxfId="5" priority="8" operator="between">
      <formula>1</formula>
      <formula>2</formula>
    </cfRule>
  </conditionalFormatting>
  <conditionalFormatting sqref="E48:E50">
    <cfRule type="cellIs" dxfId="4" priority="3" operator="greaterThan">
      <formula>2</formula>
    </cfRule>
    <cfRule type="cellIs" dxfId="3" priority="4" operator="lessThan">
      <formula>1</formula>
    </cfRule>
    <cfRule type="cellIs" dxfId="2" priority="5" operator="between">
      <formula>1</formula>
      <formula>2</formula>
    </cfRule>
  </conditionalFormatting>
  <conditionalFormatting sqref="D42:H42">
    <cfRule type="cellIs" dxfId="1" priority="1" operator="greaterThan">
      <formula>D$7</formula>
    </cfRule>
    <cfRule type="cellIs" dxfId="0" priority="2" operator="between">
      <formula>D$7/2</formula>
      <formula>D$7</formula>
    </cfRule>
  </conditionalFormatting>
  <dataValidations count="1">
    <dataValidation type="list" showInputMessage="1" showErrorMessage="1" sqref="D4:H4">
      <formula1>Motors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0"/>
  <sheetViews>
    <sheetView showGridLines="0" workbookViewId="0">
      <selection activeCell="D3" sqref="D3"/>
    </sheetView>
  </sheetViews>
  <sheetFormatPr defaultRowHeight="15" x14ac:dyDescent="0.25"/>
  <cols>
    <col min="1" max="1" width="1.28515625" customWidth="1"/>
    <col min="2" max="2" width="36.28515625" style="1" customWidth="1"/>
    <col min="3" max="3" width="13.140625" style="13" customWidth="1"/>
    <col min="4" max="5" width="9.140625" style="13"/>
  </cols>
  <sheetData>
    <row r="1" spans="2:18" ht="7.5" customHeight="1" thickBot="1" x14ac:dyDescent="0.3"/>
    <row r="2" spans="2:18" s="13" customFormat="1" x14ac:dyDescent="0.25">
      <c r="B2" s="76" t="s">
        <v>0</v>
      </c>
      <c r="C2" s="77"/>
    </row>
    <row r="3" spans="2:18" x14ac:dyDescent="0.25">
      <c r="B3" s="23" t="s">
        <v>111</v>
      </c>
      <c r="C3" s="24" t="s">
        <v>98</v>
      </c>
      <c r="D3" s="57">
        <v>120</v>
      </c>
    </row>
    <row r="4" spans="2:18" s="13" customFormat="1" x14ac:dyDescent="0.25">
      <c r="B4" s="23" t="s">
        <v>120</v>
      </c>
      <c r="C4" s="24" t="s">
        <v>98</v>
      </c>
      <c r="D4" s="57">
        <v>60</v>
      </c>
    </row>
    <row r="5" spans="2:18" x14ac:dyDescent="0.25">
      <c r="B5" s="23" t="s">
        <v>112</v>
      </c>
      <c r="C5" s="24" t="s">
        <v>113</v>
      </c>
      <c r="D5" s="57">
        <v>590</v>
      </c>
    </row>
    <row r="6" spans="2:18" x14ac:dyDescent="0.25">
      <c r="B6" s="68"/>
      <c r="C6" s="67"/>
      <c r="D6" s="2"/>
    </row>
    <row r="7" spans="2:18" s="13" customFormat="1" x14ac:dyDescent="0.25">
      <c r="B7" s="74" t="s">
        <v>53</v>
      </c>
      <c r="C7" s="75"/>
      <c r="D7" s="2"/>
    </row>
    <row r="8" spans="2:18" s="13" customFormat="1" x14ac:dyDescent="0.25">
      <c r="B8" s="19" t="s">
        <v>118</v>
      </c>
      <c r="C8" s="20" t="s">
        <v>67</v>
      </c>
      <c r="D8" s="33">
        <f>(SUM(D29:R30)/(D3-D4))/(D5/16.3871)</f>
        <v>4.1524736586141566</v>
      </c>
    </row>
    <row r="9" spans="2:18" x14ac:dyDescent="0.25">
      <c r="B9" s="19" t="s">
        <v>114</v>
      </c>
      <c r="C9" s="20" t="s">
        <v>67</v>
      </c>
      <c r="D9" s="33">
        <f>ROUNDUP((SUM(D29:R30)/(D3-D4))/(D5/16.3871),0)</f>
        <v>5</v>
      </c>
    </row>
    <row r="10" spans="2:18" s="13" customFormat="1" ht="15.75" thickBot="1" x14ac:dyDescent="0.3">
      <c r="B10" s="21" t="s">
        <v>119</v>
      </c>
      <c r="C10" s="22" t="s">
        <v>63</v>
      </c>
      <c r="D10" s="33">
        <f>D9/D8</f>
        <v>1.2041015575445446</v>
      </c>
    </row>
    <row r="11" spans="2:18" s="13" customFormat="1" ht="15.75" thickBot="1" x14ac:dyDescent="0.3">
      <c r="C11" s="2"/>
    </row>
    <row r="12" spans="2:18" s="13" customFormat="1" x14ac:dyDescent="0.25">
      <c r="B12" s="76" t="s">
        <v>0</v>
      </c>
      <c r="C12" s="77"/>
    </row>
    <row r="13" spans="2:18" x14ac:dyDescent="0.25">
      <c r="B13" s="23"/>
      <c r="C13" s="24" t="s">
        <v>92</v>
      </c>
      <c r="D13" s="57" t="s">
        <v>101</v>
      </c>
      <c r="E13" s="51" t="s">
        <v>102</v>
      </c>
      <c r="F13" s="51" t="s">
        <v>103</v>
      </c>
      <c r="G13" s="51" t="s">
        <v>115</v>
      </c>
      <c r="H13" s="51" t="s">
        <v>115</v>
      </c>
      <c r="I13" s="51" t="s">
        <v>115</v>
      </c>
      <c r="J13" s="51" t="s">
        <v>115</v>
      </c>
      <c r="K13" s="51" t="s">
        <v>115</v>
      </c>
      <c r="L13" s="51" t="s">
        <v>115</v>
      </c>
      <c r="M13" s="51" t="s">
        <v>115</v>
      </c>
      <c r="N13" s="51" t="s">
        <v>115</v>
      </c>
      <c r="O13" s="51" t="s">
        <v>115</v>
      </c>
      <c r="P13" s="51" t="s">
        <v>115</v>
      </c>
      <c r="Q13" s="51" t="s">
        <v>115</v>
      </c>
      <c r="R13" s="51" t="s">
        <v>115</v>
      </c>
    </row>
    <row r="14" spans="2:18" x14ac:dyDescent="0.25">
      <c r="B14" s="23" t="s">
        <v>99</v>
      </c>
      <c r="C14" s="24" t="s">
        <v>67</v>
      </c>
      <c r="D14" s="59">
        <v>12</v>
      </c>
      <c r="E14" s="52">
        <v>6</v>
      </c>
      <c r="F14" s="52">
        <v>15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v>0</v>
      </c>
      <c r="Q14" s="52">
        <v>0</v>
      </c>
      <c r="R14" s="52">
        <v>0</v>
      </c>
    </row>
    <row r="15" spans="2:18" x14ac:dyDescent="0.25">
      <c r="B15" s="23" t="s">
        <v>100</v>
      </c>
      <c r="C15" s="24" t="s">
        <v>67</v>
      </c>
      <c r="D15" s="59">
        <v>12</v>
      </c>
      <c r="E15" s="52">
        <v>6</v>
      </c>
      <c r="F15" s="52">
        <v>15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v>0</v>
      </c>
      <c r="Q15" s="52">
        <v>0</v>
      </c>
      <c r="R15" s="52">
        <v>0</v>
      </c>
    </row>
    <row r="16" spans="2:18" x14ac:dyDescent="0.25">
      <c r="B16" s="23" t="s">
        <v>97</v>
      </c>
      <c r="C16" s="24" t="s">
        <v>98</v>
      </c>
      <c r="D16" s="59">
        <v>60</v>
      </c>
      <c r="E16" s="52">
        <v>60</v>
      </c>
      <c r="F16" s="52">
        <v>60</v>
      </c>
      <c r="G16" s="52">
        <v>60</v>
      </c>
      <c r="H16" s="52">
        <v>60</v>
      </c>
      <c r="I16" s="52">
        <v>60</v>
      </c>
      <c r="J16" s="52">
        <v>60</v>
      </c>
      <c r="K16" s="52">
        <v>60</v>
      </c>
      <c r="L16" s="52">
        <v>60</v>
      </c>
      <c r="M16" s="52">
        <v>60</v>
      </c>
      <c r="N16" s="52">
        <v>60</v>
      </c>
      <c r="O16" s="52">
        <v>60</v>
      </c>
      <c r="P16" s="52">
        <v>60</v>
      </c>
      <c r="Q16" s="52">
        <v>60</v>
      </c>
      <c r="R16" s="52">
        <v>60</v>
      </c>
    </row>
    <row r="17" spans="2:18" x14ac:dyDescent="0.25">
      <c r="B17" s="23" t="s">
        <v>96</v>
      </c>
      <c r="C17" s="24" t="s">
        <v>67</v>
      </c>
      <c r="D17" s="59">
        <v>1</v>
      </c>
      <c r="E17" s="52">
        <v>4</v>
      </c>
      <c r="F17" s="52">
        <v>2</v>
      </c>
      <c r="G17" s="52">
        <v>1</v>
      </c>
      <c r="H17" s="52">
        <v>1</v>
      </c>
      <c r="I17" s="52">
        <v>1</v>
      </c>
      <c r="J17" s="52">
        <v>1</v>
      </c>
      <c r="K17" s="52">
        <v>1</v>
      </c>
      <c r="L17" s="52">
        <v>1</v>
      </c>
      <c r="M17" s="52">
        <v>1</v>
      </c>
      <c r="N17" s="52">
        <v>1</v>
      </c>
      <c r="O17" s="52">
        <v>1</v>
      </c>
      <c r="P17" s="52">
        <v>1</v>
      </c>
      <c r="Q17" s="52">
        <v>1</v>
      </c>
      <c r="R17" s="52">
        <v>1</v>
      </c>
    </row>
    <row r="18" spans="2:18" x14ac:dyDescent="0.25">
      <c r="B18" s="23" t="s">
        <v>93</v>
      </c>
      <c r="C18" s="24" t="s">
        <v>26</v>
      </c>
      <c r="D18" s="60">
        <v>1.0625</v>
      </c>
      <c r="E18" s="53">
        <f>9/16</f>
        <v>0.5625</v>
      </c>
      <c r="F18" s="53">
        <v>0.75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</row>
    <row r="19" spans="2:18" x14ac:dyDescent="0.25">
      <c r="B19" s="23" t="s">
        <v>94</v>
      </c>
      <c r="C19" s="24" t="s">
        <v>26</v>
      </c>
      <c r="D19" s="60">
        <v>2</v>
      </c>
      <c r="E19" s="53">
        <v>8</v>
      </c>
      <c r="F19" s="53">
        <v>0.75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</row>
    <row r="20" spans="2:18" x14ac:dyDescent="0.25">
      <c r="B20" s="23" t="s">
        <v>95</v>
      </c>
      <c r="C20" s="24" t="s">
        <v>26</v>
      </c>
      <c r="D20" s="61">
        <v>0.31</v>
      </c>
      <c r="E20" s="54">
        <v>0.19</v>
      </c>
      <c r="F20" s="54">
        <v>0.25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</row>
    <row r="21" spans="2:18" x14ac:dyDescent="0.25">
      <c r="B21" s="68"/>
      <c r="C21" s="6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</row>
    <row r="22" spans="2:18" s="13" customFormat="1" x14ac:dyDescent="0.25">
      <c r="B22" s="74" t="s">
        <v>53</v>
      </c>
      <c r="C22" s="75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2:18" x14ac:dyDescent="0.25">
      <c r="B23" s="19" t="s">
        <v>104</v>
      </c>
      <c r="C23" s="20" t="s">
        <v>24</v>
      </c>
      <c r="D23" s="35">
        <f>D16*(PI()*D18^2/4)</f>
        <v>53.198453723874039</v>
      </c>
      <c r="E23" s="29">
        <f>E16*(PI()*E18^2/4)</f>
        <v>14.910293258248432</v>
      </c>
      <c r="F23" s="29">
        <f>F16*(PI()*F18^2/4)</f>
        <v>26.507188014663878</v>
      </c>
      <c r="G23" s="29">
        <f t="shared" ref="G23" si="0">G16*(PI()*G18^2/4)</f>
        <v>0</v>
      </c>
      <c r="H23" s="29">
        <f t="shared" ref="H23:R23" si="1">H16*(PI()*H18^2/4)</f>
        <v>0</v>
      </c>
      <c r="I23" s="29">
        <f t="shared" si="1"/>
        <v>0</v>
      </c>
      <c r="J23" s="29">
        <f t="shared" si="1"/>
        <v>0</v>
      </c>
      <c r="K23" s="29">
        <f t="shared" si="1"/>
        <v>0</v>
      </c>
      <c r="L23" s="29">
        <f t="shared" si="1"/>
        <v>0</v>
      </c>
      <c r="M23" s="29">
        <f t="shared" si="1"/>
        <v>0</v>
      </c>
      <c r="N23" s="29">
        <f t="shared" si="1"/>
        <v>0</v>
      </c>
      <c r="O23" s="29">
        <f t="shared" si="1"/>
        <v>0</v>
      </c>
      <c r="P23" s="29">
        <f t="shared" si="1"/>
        <v>0</v>
      </c>
      <c r="Q23" s="29">
        <f t="shared" si="1"/>
        <v>0</v>
      </c>
      <c r="R23" s="29">
        <f t="shared" si="1"/>
        <v>0</v>
      </c>
    </row>
    <row r="24" spans="2:18" x14ac:dyDescent="0.25">
      <c r="B24" s="19" t="s">
        <v>105</v>
      </c>
      <c r="C24" s="20" t="s">
        <v>24</v>
      </c>
      <c r="D24" s="35">
        <f>D16*((PI()*D18^2/4)-(PI()*D20^2/4))</f>
        <v>48.669847913724347</v>
      </c>
      <c r="E24" s="29">
        <f>E16*((PI()*E18^2/4)-(PI()*E20^2/4))</f>
        <v>13.209120836329559</v>
      </c>
      <c r="F24" s="29">
        <f>F16*((PI()*F18^2/4)-(PI()*F20^2/4))</f>
        <v>23.561944901923447</v>
      </c>
      <c r="G24" s="29">
        <f t="shared" ref="G24" si="2">G16*((PI()*G18^2/4)-(PI()*G20^2/4))</f>
        <v>0</v>
      </c>
      <c r="H24" s="29">
        <f t="shared" ref="H24:R24" si="3">H16*((PI()*H18^2/4)-(PI()*H20^2/4))</f>
        <v>0</v>
      </c>
      <c r="I24" s="29">
        <f t="shared" si="3"/>
        <v>0</v>
      </c>
      <c r="J24" s="29">
        <f t="shared" si="3"/>
        <v>0</v>
      </c>
      <c r="K24" s="29">
        <f t="shared" si="3"/>
        <v>0</v>
      </c>
      <c r="L24" s="29">
        <f t="shared" si="3"/>
        <v>0</v>
      </c>
      <c r="M24" s="29">
        <f t="shared" si="3"/>
        <v>0</v>
      </c>
      <c r="N24" s="29">
        <f t="shared" si="3"/>
        <v>0</v>
      </c>
      <c r="O24" s="29">
        <f t="shared" si="3"/>
        <v>0</v>
      </c>
      <c r="P24" s="29">
        <f t="shared" si="3"/>
        <v>0</v>
      </c>
      <c r="Q24" s="29">
        <f t="shared" si="3"/>
        <v>0</v>
      </c>
      <c r="R24" s="29">
        <f t="shared" si="3"/>
        <v>0</v>
      </c>
    </row>
    <row r="25" spans="2:18" x14ac:dyDescent="0.25">
      <c r="B25" s="19" t="s">
        <v>109</v>
      </c>
      <c r="C25" s="20" t="s">
        <v>24</v>
      </c>
      <c r="D25" s="35">
        <f>D17*D16*(PI()*D18^2/4)</f>
        <v>53.198453723874039</v>
      </c>
      <c r="E25" s="29">
        <f>E17*E16*(PI()*E18^2/4)</f>
        <v>59.641173032993727</v>
      </c>
      <c r="F25" s="29">
        <f>F17*F16*(PI()*F18^2/4)</f>
        <v>53.014376029327757</v>
      </c>
      <c r="G25" s="29">
        <f t="shared" ref="G25" si="4">G17*G16*(PI()*G18^2/4)</f>
        <v>0</v>
      </c>
      <c r="H25" s="29">
        <f t="shared" ref="H25:R25" si="5">H17*H16*(PI()*H18^2/4)</f>
        <v>0</v>
      </c>
      <c r="I25" s="29">
        <f t="shared" si="5"/>
        <v>0</v>
      </c>
      <c r="J25" s="29">
        <f t="shared" si="5"/>
        <v>0</v>
      </c>
      <c r="K25" s="29">
        <f t="shared" si="5"/>
        <v>0</v>
      </c>
      <c r="L25" s="29">
        <f t="shared" si="5"/>
        <v>0</v>
      </c>
      <c r="M25" s="29">
        <f t="shared" si="5"/>
        <v>0</v>
      </c>
      <c r="N25" s="29">
        <f t="shared" si="5"/>
        <v>0</v>
      </c>
      <c r="O25" s="29">
        <f t="shared" si="5"/>
        <v>0</v>
      </c>
      <c r="P25" s="29">
        <f t="shared" si="5"/>
        <v>0</v>
      </c>
      <c r="Q25" s="29">
        <f t="shared" si="5"/>
        <v>0</v>
      </c>
      <c r="R25" s="29">
        <f t="shared" si="5"/>
        <v>0</v>
      </c>
    </row>
    <row r="26" spans="2:18" x14ac:dyDescent="0.25">
      <c r="B26" s="19" t="s">
        <v>110</v>
      </c>
      <c r="C26" s="20" t="s">
        <v>24</v>
      </c>
      <c r="D26" s="35">
        <f>D17*D16*((PI()*D18^2/4)-(PI()*D20^2/4))</f>
        <v>48.669847913724347</v>
      </c>
      <c r="E26" s="29">
        <f>E17*E16*((PI()*E18^2/4)-(PI()*E20^2/4))</f>
        <v>52.836483345318236</v>
      </c>
      <c r="F26" s="29">
        <f>F17*F16*((PI()*F18^2/4)-(PI()*F20^2/4))</f>
        <v>47.123889803846893</v>
      </c>
      <c r="G26" s="29">
        <f t="shared" ref="G26" si="6">G17*G16*((PI()*G18^2/4)-(PI()*G20^2/4))</f>
        <v>0</v>
      </c>
      <c r="H26" s="29">
        <f t="shared" ref="H26:R26" si="7">H17*H16*((PI()*H18^2/4)-(PI()*H20^2/4))</f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7"/>
        <v>0</v>
      </c>
      <c r="O26" s="29">
        <f t="shared" si="7"/>
        <v>0</v>
      </c>
      <c r="P26" s="29">
        <f t="shared" si="7"/>
        <v>0</v>
      </c>
      <c r="Q26" s="29">
        <f t="shared" si="7"/>
        <v>0</v>
      </c>
      <c r="R26" s="29">
        <f t="shared" si="7"/>
        <v>0</v>
      </c>
    </row>
    <row r="27" spans="2:18" x14ac:dyDescent="0.25">
      <c r="B27" s="19" t="s">
        <v>106</v>
      </c>
      <c r="C27" s="20" t="s">
        <v>108</v>
      </c>
      <c r="D27" s="35">
        <f>D17*D14*D19*(PI()*D18^2/4)</f>
        <v>21.279381489549614</v>
      </c>
      <c r="E27" s="29">
        <f>E17*E14*E19*(PI()*E18^2/4)</f>
        <v>47.712938426394985</v>
      </c>
      <c r="F27" s="29">
        <f>F17*F14*F19*(PI()*F18^2/4)</f>
        <v>9.9401955054989539</v>
      </c>
      <c r="G27" s="29">
        <f t="shared" ref="G27" si="8">G17*G14*G19*(PI()*G18^2/4)</f>
        <v>0</v>
      </c>
      <c r="H27" s="29">
        <f t="shared" ref="H27:R27" si="9">H17*H14*H19*(PI()*H18^2/4)</f>
        <v>0</v>
      </c>
      <c r="I27" s="29">
        <f t="shared" si="9"/>
        <v>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9"/>
        <v>0</v>
      </c>
      <c r="O27" s="29">
        <f t="shared" si="9"/>
        <v>0</v>
      </c>
      <c r="P27" s="29">
        <f t="shared" si="9"/>
        <v>0</v>
      </c>
      <c r="Q27" s="29">
        <f t="shared" si="9"/>
        <v>0</v>
      </c>
      <c r="R27" s="29">
        <f t="shared" si="9"/>
        <v>0</v>
      </c>
    </row>
    <row r="28" spans="2:18" x14ac:dyDescent="0.25">
      <c r="B28" s="19" t="s">
        <v>107</v>
      </c>
      <c r="C28" s="20" t="s">
        <v>108</v>
      </c>
      <c r="D28" s="35">
        <f>D17*D15*D19*((PI()*D18^2/4)-(PI()*D20^2/4))</f>
        <v>19.467939165489739</v>
      </c>
      <c r="E28" s="29">
        <f>E17*E15*E19*((PI()*E18^2/4)-(PI()*E20^2/4))</f>
        <v>42.269186676254584</v>
      </c>
      <c r="F28" s="29">
        <f>F17*F15*F19*((PI()*F18^2/4)-(PI()*F20^2/4))</f>
        <v>8.8357293382212934</v>
      </c>
      <c r="G28" s="29">
        <f t="shared" ref="G28" si="10">G17*G15*G19*((PI()*G18^2/4)-(PI()*G20^2/4))</f>
        <v>0</v>
      </c>
      <c r="H28" s="29">
        <f t="shared" ref="H28:R28" si="11">H17*H15*H19*((PI()*H18^2/4)-(PI()*H20^2/4))</f>
        <v>0</v>
      </c>
      <c r="I28" s="29">
        <f t="shared" si="11"/>
        <v>0</v>
      </c>
      <c r="J28" s="29">
        <f t="shared" si="11"/>
        <v>0</v>
      </c>
      <c r="K28" s="29">
        <f t="shared" si="11"/>
        <v>0</v>
      </c>
      <c r="L28" s="29">
        <f t="shared" si="11"/>
        <v>0</v>
      </c>
      <c r="M28" s="29">
        <f t="shared" si="11"/>
        <v>0</v>
      </c>
      <c r="N28" s="29">
        <f t="shared" si="11"/>
        <v>0</v>
      </c>
      <c r="O28" s="29">
        <f t="shared" si="11"/>
        <v>0</v>
      </c>
      <c r="P28" s="29">
        <f t="shared" si="11"/>
        <v>0</v>
      </c>
      <c r="Q28" s="29">
        <f t="shared" si="11"/>
        <v>0</v>
      </c>
      <c r="R28" s="29">
        <f t="shared" si="11"/>
        <v>0</v>
      </c>
    </row>
    <row r="29" spans="2:18" x14ac:dyDescent="0.25">
      <c r="B29" s="19" t="s">
        <v>116</v>
      </c>
      <c r="C29" s="20"/>
      <c r="D29" s="56">
        <f>D27*D16</f>
        <v>1276.7628893729768</v>
      </c>
      <c r="E29" s="30">
        <f t="shared" ref="E29:F29" si="12">E27*E16</f>
        <v>2862.776305583699</v>
      </c>
      <c r="F29" s="30">
        <f t="shared" si="12"/>
        <v>596.4117303299372</v>
      </c>
      <c r="G29" s="30">
        <f t="shared" ref="G29" si="13">G27*G16</f>
        <v>0</v>
      </c>
      <c r="H29" s="30">
        <f t="shared" ref="H29:R29" si="14">H27*H16</f>
        <v>0</v>
      </c>
      <c r="I29" s="30">
        <f t="shared" si="14"/>
        <v>0</v>
      </c>
      <c r="J29" s="30">
        <f t="shared" si="14"/>
        <v>0</v>
      </c>
      <c r="K29" s="30">
        <f t="shared" si="14"/>
        <v>0</v>
      </c>
      <c r="L29" s="30">
        <f t="shared" si="14"/>
        <v>0</v>
      </c>
      <c r="M29" s="30">
        <f t="shared" si="14"/>
        <v>0</v>
      </c>
      <c r="N29" s="30">
        <f t="shared" si="14"/>
        <v>0</v>
      </c>
      <c r="O29" s="30">
        <f t="shared" si="14"/>
        <v>0</v>
      </c>
      <c r="P29" s="30">
        <f t="shared" si="14"/>
        <v>0</v>
      </c>
      <c r="Q29" s="30">
        <f t="shared" si="14"/>
        <v>0</v>
      </c>
      <c r="R29" s="30">
        <f t="shared" si="14"/>
        <v>0</v>
      </c>
    </row>
    <row r="30" spans="2:18" ht="15.75" thickBot="1" x14ac:dyDescent="0.3">
      <c r="B30" s="21" t="s">
        <v>117</v>
      </c>
      <c r="C30" s="22"/>
      <c r="D30" s="56">
        <f>D28*D16</f>
        <v>1168.0763499293844</v>
      </c>
      <c r="E30" s="30">
        <f t="shared" ref="E30:F30" si="15">E28*E16</f>
        <v>2536.1512005752752</v>
      </c>
      <c r="F30" s="30">
        <f t="shared" si="15"/>
        <v>530.14376029327764</v>
      </c>
      <c r="G30" s="30">
        <f t="shared" ref="G30" si="16">G28*G16</f>
        <v>0</v>
      </c>
      <c r="H30" s="30">
        <f t="shared" ref="H30:R30" si="17">H28*H16</f>
        <v>0</v>
      </c>
      <c r="I30" s="30">
        <f t="shared" si="17"/>
        <v>0</v>
      </c>
      <c r="J30" s="30">
        <f t="shared" si="17"/>
        <v>0</v>
      </c>
      <c r="K30" s="30">
        <f t="shared" si="17"/>
        <v>0</v>
      </c>
      <c r="L30" s="30">
        <f t="shared" si="17"/>
        <v>0</v>
      </c>
      <c r="M30" s="30">
        <f t="shared" si="17"/>
        <v>0</v>
      </c>
      <c r="N30" s="30">
        <f t="shared" si="17"/>
        <v>0</v>
      </c>
      <c r="O30" s="30">
        <f t="shared" si="17"/>
        <v>0</v>
      </c>
      <c r="P30" s="30">
        <f t="shared" si="17"/>
        <v>0</v>
      </c>
      <c r="Q30" s="30">
        <f t="shared" si="17"/>
        <v>0</v>
      </c>
      <c r="R30" s="30">
        <f t="shared" si="17"/>
        <v>0</v>
      </c>
    </row>
  </sheetData>
  <mergeCells count="4">
    <mergeCell ref="B22:C22"/>
    <mergeCell ref="B12:C12"/>
    <mergeCell ref="B7:C7"/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7"/>
  <sheetViews>
    <sheetView showGridLines="0" workbookViewId="0">
      <selection activeCell="C3" sqref="C3"/>
    </sheetView>
  </sheetViews>
  <sheetFormatPr defaultRowHeight="15" x14ac:dyDescent="0.25"/>
  <cols>
    <col min="1" max="1" width="1.28515625" customWidth="1"/>
    <col min="2" max="2" width="18.7109375" customWidth="1"/>
    <col min="3" max="3" width="27.42578125" customWidth="1"/>
    <col min="10" max="18" width="9.140625" style="13"/>
  </cols>
  <sheetData>
    <row r="1" spans="2:18" ht="7.5" customHeight="1" thickBot="1" x14ac:dyDescent="0.3"/>
    <row r="2" spans="2:18" s="13" customFormat="1" ht="15" customHeight="1" x14ac:dyDescent="0.25">
      <c r="B2" s="78" t="s">
        <v>0</v>
      </c>
      <c r="C2" s="79"/>
    </row>
    <row r="3" spans="2:18" s="13" customFormat="1" ht="15" customHeight="1" x14ac:dyDescent="0.25">
      <c r="B3" s="64" t="s">
        <v>170</v>
      </c>
      <c r="C3" s="65">
        <v>5</v>
      </c>
    </row>
    <row r="4" spans="2:18" s="13" customFormat="1" ht="15" customHeight="1" x14ac:dyDescent="0.25">
      <c r="B4" s="66"/>
      <c r="C4" s="67"/>
    </row>
    <row r="5" spans="2:18" s="13" customFormat="1" ht="15" customHeight="1" x14ac:dyDescent="0.25">
      <c r="B5" s="74" t="s">
        <v>53</v>
      </c>
      <c r="C5" s="75"/>
    </row>
    <row r="6" spans="2:18" s="13" customFormat="1" ht="15" customHeight="1" thickBot="1" x14ac:dyDescent="0.3">
      <c r="B6" s="62" t="s">
        <v>26</v>
      </c>
      <c r="C6" s="63">
        <f>C3*0.0393701</f>
        <v>0.19685049999999998</v>
      </c>
    </row>
    <row r="7" spans="2:18" s="13" customFormat="1" ht="15" customHeight="1" thickBot="1" x14ac:dyDescent="0.3"/>
    <row r="8" spans="2:18" s="13" customFormat="1" ht="15" customHeight="1" x14ac:dyDescent="0.25">
      <c r="B8" s="78" t="s">
        <v>0</v>
      </c>
      <c r="C8" s="79"/>
      <c r="D8" s="57" t="s">
        <v>123</v>
      </c>
      <c r="E8" s="51" t="s">
        <v>151</v>
      </c>
      <c r="F8" s="51" t="s">
        <v>153</v>
      </c>
      <c r="G8" s="51" t="s">
        <v>115</v>
      </c>
      <c r="H8" s="51" t="s">
        <v>115</v>
      </c>
      <c r="I8" s="51" t="s">
        <v>115</v>
      </c>
      <c r="J8" s="51" t="s">
        <v>115</v>
      </c>
      <c r="K8" s="51" t="s">
        <v>115</v>
      </c>
      <c r="L8" s="51" t="s">
        <v>115</v>
      </c>
      <c r="M8" s="51" t="s">
        <v>115</v>
      </c>
      <c r="N8" s="51" t="s">
        <v>115</v>
      </c>
      <c r="O8" s="51" t="s">
        <v>115</v>
      </c>
      <c r="P8" s="51" t="s">
        <v>115</v>
      </c>
      <c r="Q8" s="51" t="s">
        <v>115</v>
      </c>
      <c r="R8" s="51" t="s">
        <v>115</v>
      </c>
    </row>
    <row r="9" spans="2:18" s="13" customFormat="1" x14ac:dyDescent="0.25">
      <c r="B9" s="23" t="s">
        <v>121</v>
      </c>
      <c r="C9" s="24" t="s">
        <v>169</v>
      </c>
      <c r="D9" s="57">
        <v>0.375</v>
      </c>
      <c r="E9" s="57">
        <v>0.25</v>
      </c>
      <c r="F9" s="57">
        <v>0.19685</v>
      </c>
      <c r="G9" s="57">
        <v>0.375</v>
      </c>
      <c r="H9" s="57">
        <v>0.375</v>
      </c>
      <c r="I9" s="57">
        <v>0.375</v>
      </c>
      <c r="J9" s="57">
        <v>0.375</v>
      </c>
      <c r="K9" s="57">
        <v>0.375</v>
      </c>
      <c r="L9" s="57">
        <v>0.375</v>
      </c>
      <c r="M9" s="57">
        <v>0.375</v>
      </c>
      <c r="N9" s="57">
        <v>0.375</v>
      </c>
      <c r="O9" s="57">
        <v>0.375</v>
      </c>
      <c r="P9" s="57">
        <v>0.375</v>
      </c>
      <c r="Q9" s="57">
        <v>0.375</v>
      </c>
      <c r="R9" s="57">
        <v>0.375</v>
      </c>
    </row>
    <row r="10" spans="2:18" x14ac:dyDescent="0.25">
      <c r="B10" s="23" t="s">
        <v>165</v>
      </c>
      <c r="C10" s="24" t="s">
        <v>25</v>
      </c>
      <c r="D10" s="57">
        <v>15</v>
      </c>
      <c r="E10" s="51">
        <v>16</v>
      </c>
      <c r="F10" s="51">
        <v>18</v>
      </c>
      <c r="G10" s="51">
        <v>16</v>
      </c>
      <c r="H10" s="51">
        <v>16</v>
      </c>
      <c r="I10" s="51">
        <v>16</v>
      </c>
      <c r="J10" s="51">
        <v>16</v>
      </c>
      <c r="K10" s="51">
        <v>16</v>
      </c>
      <c r="L10" s="51">
        <v>16</v>
      </c>
      <c r="M10" s="51">
        <v>16</v>
      </c>
      <c r="N10" s="51">
        <v>16</v>
      </c>
      <c r="O10" s="51">
        <v>16</v>
      </c>
      <c r="P10" s="51">
        <v>16</v>
      </c>
      <c r="Q10" s="51">
        <v>16</v>
      </c>
      <c r="R10" s="51">
        <v>16</v>
      </c>
    </row>
    <row r="11" spans="2:18" x14ac:dyDescent="0.25">
      <c r="B11" s="23" t="s">
        <v>166</v>
      </c>
      <c r="C11" s="24" t="s">
        <v>25</v>
      </c>
      <c r="D11" s="57">
        <v>22</v>
      </c>
      <c r="E11" s="51">
        <v>16</v>
      </c>
      <c r="F11" s="51">
        <v>18</v>
      </c>
      <c r="G11" s="51">
        <v>36</v>
      </c>
      <c r="H11" s="51">
        <v>36</v>
      </c>
      <c r="I11" s="51">
        <v>36</v>
      </c>
      <c r="J11" s="51">
        <v>36</v>
      </c>
      <c r="K11" s="51">
        <v>36</v>
      </c>
      <c r="L11" s="51">
        <v>36</v>
      </c>
      <c r="M11" s="51">
        <v>36</v>
      </c>
      <c r="N11" s="51">
        <v>36</v>
      </c>
      <c r="O11" s="51">
        <v>36</v>
      </c>
      <c r="P11" s="51">
        <v>36</v>
      </c>
      <c r="Q11" s="51">
        <v>36</v>
      </c>
      <c r="R11" s="51">
        <v>36</v>
      </c>
    </row>
    <row r="12" spans="2:18" x14ac:dyDescent="0.25">
      <c r="B12" s="23" t="s">
        <v>168</v>
      </c>
      <c r="C12" s="24" t="s">
        <v>167</v>
      </c>
      <c r="D12" s="57">
        <v>59</v>
      </c>
      <c r="E12" s="51">
        <v>49</v>
      </c>
      <c r="F12" s="51">
        <v>104</v>
      </c>
      <c r="G12" s="51">
        <v>50</v>
      </c>
      <c r="H12" s="51">
        <v>50</v>
      </c>
      <c r="I12" s="51">
        <v>50</v>
      </c>
      <c r="J12" s="51">
        <v>50</v>
      </c>
      <c r="K12" s="51">
        <v>50</v>
      </c>
      <c r="L12" s="51">
        <v>50</v>
      </c>
      <c r="M12" s="51">
        <v>50</v>
      </c>
      <c r="N12" s="51">
        <v>50</v>
      </c>
      <c r="O12" s="51">
        <v>50</v>
      </c>
      <c r="P12" s="51">
        <v>50</v>
      </c>
      <c r="Q12" s="51">
        <v>50</v>
      </c>
      <c r="R12" s="51">
        <v>50</v>
      </c>
    </row>
    <row r="13" spans="2:18" x14ac:dyDescent="0.25">
      <c r="B13" s="68"/>
      <c r="C13" s="67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s="13" customFormat="1" x14ac:dyDescent="0.25">
      <c r="B14" s="74" t="s">
        <v>53</v>
      </c>
      <c r="C14" s="75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2:18" x14ac:dyDescent="0.25">
      <c r="B15" s="19" t="s">
        <v>122</v>
      </c>
      <c r="C15" s="20" t="s">
        <v>26</v>
      </c>
      <c r="D15" s="58">
        <f t="shared" ref="D15:R15" si="0">SUM(D9/8)*(2*D12-D10-D11+SQRT((2*D12-D10-D11)^2-(8/PI()^2)*((D10-D11)^2)))</f>
        <v>7.5822401053096016</v>
      </c>
      <c r="E15" s="38">
        <f t="shared" si="0"/>
        <v>4.125</v>
      </c>
      <c r="F15" s="38">
        <f t="shared" si="0"/>
        <v>8.4645499999999991</v>
      </c>
      <c r="G15" s="38">
        <f t="shared" si="0"/>
        <v>4.3356858410400196</v>
      </c>
      <c r="H15" s="38">
        <f t="shared" si="0"/>
        <v>4.3356858410400196</v>
      </c>
      <c r="I15" s="38">
        <f t="shared" si="0"/>
        <v>4.3356858410400196</v>
      </c>
      <c r="J15" s="38">
        <f t="shared" si="0"/>
        <v>4.3356858410400196</v>
      </c>
      <c r="K15" s="38">
        <f t="shared" si="0"/>
        <v>4.3356858410400196</v>
      </c>
      <c r="L15" s="38">
        <f t="shared" si="0"/>
        <v>4.3356858410400196</v>
      </c>
      <c r="M15" s="38">
        <f t="shared" si="0"/>
        <v>4.3356858410400196</v>
      </c>
      <c r="N15" s="38">
        <f t="shared" si="0"/>
        <v>4.3356858410400196</v>
      </c>
      <c r="O15" s="38">
        <f t="shared" si="0"/>
        <v>4.3356858410400196</v>
      </c>
      <c r="P15" s="38">
        <f t="shared" si="0"/>
        <v>4.3356858410400196</v>
      </c>
      <c r="Q15" s="38">
        <f t="shared" si="0"/>
        <v>4.3356858410400196</v>
      </c>
      <c r="R15" s="38">
        <f t="shared" si="0"/>
        <v>4.3356858410400196</v>
      </c>
    </row>
    <row r="16" spans="2:18" s="13" customFormat="1" x14ac:dyDescent="0.25">
      <c r="B16" s="19" t="s">
        <v>163</v>
      </c>
      <c r="C16" s="20" t="s">
        <v>26</v>
      </c>
      <c r="D16" s="58">
        <f>D15+0.005</f>
        <v>7.5872401053096015</v>
      </c>
      <c r="E16" s="38">
        <f t="shared" ref="E16:I16" si="1">E15+0.005</f>
        <v>4.13</v>
      </c>
      <c r="F16" s="38">
        <f t="shared" si="1"/>
        <v>8.4695499999999999</v>
      </c>
      <c r="G16" s="38">
        <f t="shared" si="1"/>
        <v>4.3406858410400195</v>
      </c>
      <c r="H16" s="38">
        <f t="shared" si="1"/>
        <v>4.3406858410400195</v>
      </c>
      <c r="I16" s="38">
        <f t="shared" si="1"/>
        <v>4.3406858410400195</v>
      </c>
      <c r="J16" s="38">
        <f t="shared" ref="J16:R16" si="2">J15+0.005</f>
        <v>4.3406858410400195</v>
      </c>
      <c r="K16" s="38">
        <f t="shared" si="2"/>
        <v>4.3406858410400195</v>
      </c>
      <c r="L16" s="38">
        <f t="shared" si="2"/>
        <v>4.3406858410400195</v>
      </c>
      <c r="M16" s="38">
        <f t="shared" si="2"/>
        <v>4.3406858410400195</v>
      </c>
      <c r="N16" s="38">
        <f t="shared" si="2"/>
        <v>4.3406858410400195</v>
      </c>
      <c r="O16" s="38">
        <f t="shared" si="2"/>
        <v>4.3406858410400195</v>
      </c>
      <c r="P16" s="38">
        <f t="shared" si="2"/>
        <v>4.3406858410400195</v>
      </c>
      <c r="Q16" s="38">
        <f t="shared" si="2"/>
        <v>4.3406858410400195</v>
      </c>
      <c r="R16" s="38">
        <f t="shared" si="2"/>
        <v>4.3406858410400195</v>
      </c>
    </row>
    <row r="17" spans="2:18" ht="15.75" thickBot="1" x14ac:dyDescent="0.3">
      <c r="B17" s="21" t="s">
        <v>164</v>
      </c>
      <c r="C17" s="22" t="s">
        <v>26</v>
      </c>
      <c r="D17" s="58">
        <f>D15+0.015</f>
        <v>7.5972401053096013</v>
      </c>
      <c r="E17" s="38">
        <f>E15+0.015</f>
        <v>4.1399999999999997</v>
      </c>
      <c r="F17" s="38">
        <f t="shared" ref="F17:I17" si="3">F15+0.015</f>
        <v>8.4795499999999997</v>
      </c>
      <c r="G17" s="38">
        <f t="shared" si="3"/>
        <v>4.3506858410400193</v>
      </c>
      <c r="H17" s="38">
        <f t="shared" si="3"/>
        <v>4.3506858410400193</v>
      </c>
      <c r="I17" s="38">
        <f t="shared" si="3"/>
        <v>4.3506858410400193</v>
      </c>
      <c r="J17" s="38">
        <f>J15+0.015</f>
        <v>4.3506858410400193</v>
      </c>
      <c r="K17" s="38">
        <f t="shared" ref="K17:N17" si="4">K15+0.015</f>
        <v>4.3506858410400193</v>
      </c>
      <c r="L17" s="38">
        <f t="shared" si="4"/>
        <v>4.3506858410400193</v>
      </c>
      <c r="M17" s="38">
        <f t="shared" si="4"/>
        <v>4.3506858410400193</v>
      </c>
      <c r="N17" s="38">
        <f t="shared" si="4"/>
        <v>4.3506858410400193</v>
      </c>
      <c r="O17" s="38">
        <f>O15+0.015</f>
        <v>4.3506858410400193</v>
      </c>
      <c r="P17" s="38">
        <f t="shared" ref="P17:R17" si="5">P15+0.015</f>
        <v>4.3506858410400193</v>
      </c>
      <c r="Q17" s="38">
        <f t="shared" si="5"/>
        <v>4.3506858410400193</v>
      </c>
      <c r="R17" s="38">
        <f t="shared" si="5"/>
        <v>4.3506858410400193</v>
      </c>
    </row>
  </sheetData>
  <mergeCells count="4">
    <mergeCell ref="B8:C8"/>
    <mergeCell ref="B14:C14"/>
    <mergeCell ref="B2:C2"/>
    <mergeCell ref="B5:C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3"/>
  <sheetViews>
    <sheetView workbookViewId="0">
      <selection activeCell="B13" sqref="B13"/>
    </sheetView>
  </sheetViews>
  <sheetFormatPr defaultRowHeight="15" x14ac:dyDescent="0.25"/>
  <cols>
    <col min="2" max="2" width="24" customWidth="1"/>
    <col min="3" max="7" width="10" customWidth="1"/>
  </cols>
  <sheetData>
    <row r="2" spans="2:7" ht="38.25" x14ac:dyDescent="0.25">
      <c r="B2" s="9"/>
      <c r="C2" s="12" t="s">
        <v>1</v>
      </c>
      <c r="D2" s="12" t="s">
        <v>12</v>
      </c>
      <c r="E2" s="12" t="s">
        <v>2</v>
      </c>
      <c r="F2" s="12" t="s">
        <v>3</v>
      </c>
      <c r="G2" s="12" t="s">
        <v>4</v>
      </c>
    </row>
    <row r="3" spans="2:7" x14ac:dyDescent="0.25">
      <c r="B3" s="11" t="s">
        <v>5</v>
      </c>
      <c r="C3" s="3">
        <v>5330</v>
      </c>
      <c r="D3" s="8">
        <v>2.41</v>
      </c>
      <c r="E3" s="8">
        <v>131</v>
      </c>
      <c r="F3" s="8">
        <v>2.7</v>
      </c>
      <c r="G3" s="10">
        <f t="shared" ref="G3:G10" si="0">C3/2*(1/60*2*PI())*D3/2</f>
        <v>336.28916760964142</v>
      </c>
    </row>
    <row r="4" spans="2:7" x14ac:dyDescent="0.25">
      <c r="B4" s="11" t="s">
        <v>6</v>
      </c>
      <c r="C4" s="5">
        <v>5840</v>
      </c>
      <c r="D4" s="6">
        <v>1.41</v>
      </c>
      <c r="E4" s="6">
        <v>89</v>
      </c>
      <c r="F4" s="6">
        <v>3</v>
      </c>
      <c r="G4" s="10">
        <f t="shared" si="0"/>
        <v>215.57608788933157</v>
      </c>
    </row>
    <row r="5" spans="2:7" x14ac:dyDescent="0.25">
      <c r="B5" s="11" t="s">
        <v>8</v>
      </c>
      <c r="C5" s="3">
        <v>18730</v>
      </c>
      <c r="D5" s="8">
        <v>0.71</v>
      </c>
      <c r="E5" s="8">
        <v>134</v>
      </c>
      <c r="F5" s="8">
        <v>0.7</v>
      </c>
      <c r="G5" s="10">
        <f t="shared" ref="G5" si="1">C5/2*(1/60*2*PI())*D5/2</f>
        <v>348.14867987694288</v>
      </c>
    </row>
    <row r="6" spans="2:7" x14ac:dyDescent="0.25">
      <c r="B6" s="11" t="s">
        <v>7</v>
      </c>
      <c r="C6" s="5">
        <v>13180</v>
      </c>
      <c r="D6" s="6">
        <v>0.43</v>
      </c>
      <c r="E6" s="6">
        <v>53</v>
      </c>
      <c r="F6" s="6">
        <v>1.8</v>
      </c>
      <c r="G6" s="10">
        <f t="shared" si="0"/>
        <v>148.37218504128995</v>
      </c>
    </row>
    <row r="7" spans="2:7" x14ac:dyDescent="0.25">
      <c r="B7" s="11" t="s">
        <v>9</v>
      </c>
      <c r="C7" s="3">
        <v>5800</v>
      </c>
      <c r="D7" s="8">
        <v>0.28000000000000003</v>
      </c>
      <c r="E7" s="8">
        <v>18</v>
      </c>
      <c r="F7" s="8">
        <v>1.6</v>
      </c>
      <c r="G7" s="10">
        <f t="shared" si="0"/>
        <v>42.516220578581873</v>
      </c>
    </row>
    <row r="8" spans="2:7" x14ac:dyDescent="0.25">
      <c r="B8" s="11" t="s">
        <v>10</v>
      </c>
      <c r="C8" s="4">
        <v>14270</v>
      </c>
      <c r="D8" s="7">
        <v>0.36</v>
      </c>
      <c r="E8" s="7">
        <v>71</v>
      </c>
      <c r="F8" s="7">
        <v>3.7</v>
      </c>
      <c r="G8" s="10">
        <f t="shared" si="0"/>
        <v>134.49158150017902</v>
      </c>
    </row>
    <row r="9" spans="2:7" x14ac:dyDescent="0.25">
      <c r="B9" s="11" t="s">
        <v>130</v>
      </c>
      <c r="C9" s="4">
        <v>19000</v>
      </c>
      <c r="D9" s="7">
        <v>0.38</v>
      </c>
      <c r="E9" s="7">
        <v>84</v>
      </c>
      <c r="F9" s="7">
        <v>0.4</v>
      </c>
      <c r="G9" s="10">
        <v>190</v>
      </c>
    </row>
    <row r="10" spans="2:7" x14ac:dyDescent="0.25">
      <c r="B10" s="11" t="s">
        <v>11</v>
      </c>
      <c r="C10" s="3">
        <v>13050</v>
      </c>
      <c r="D10" s="8">
        <v>0.72</v>
      </c>
      <c r="E10" s="8">
        <v>97</v>
      </c>
      <c r="F10" s="8">
        <v>2.7</v>
      </c>
      <c r="G10" s="10">
        <f t="shared" si="0"/>
        <v>245.98670477608078</v>
      </c>
    </row>
    <row r="14" spans="2:7" x14ac:dyDescent="0.25">
      <c r="C14">
        <v>4</v>
      </c>
      <c r="E14">
        <v>1</v>
      </c>
    </row>
    <row r="15" spans="2:7" x14ac:dyDescent="0.25">
      <c r="C15">
        <v>6</v>
      </c>
      <c r="E15">
        <v>2</v>
      </c>
    </row>
    <row r="21" spans="1:4" x14ac:dyDescent="0.25">
      <c r="A21" s="14">
        <v>1</v>
      </c>
      <c r="B21">
        <v>40</v>
      </c>
      <c r="C21" t="s">
        <v>70</v>
      </c>
      <c r="D21" t="s">
        <v>69</v>
      </c>
    </row>
    <row r="22" spans="1:4" x14ac:dyDescent="0.25">
      <c r="B22" s="13" t="s">
        <v>71</v>
      </c>
      <c r="C22" s="13" t="s">
        <v>72</v>
      </c>
      <c r="D22" s="13" t="s">
        <v>73</v>
      </c>
    </row>
    <row r="23" spans="1:4" x14ac:dyDescent="0.25">
      <c r="A23" s="14">
        <v>1.5</v>
      </c>
      <c r="B23">
        <f t="shared" ref="B23:B29" si="2">A23*$B$21</f>
        <v>60</v>
      </c>
      <c r="C23">
        <v>3.9</v>
      </c>
      <c r="D23">
        <v>47</v>
      </c>
    </row>
    <row r="24" spans="1:4" x14ac:dyDescent="0.25">
      <c r="A24" s="14">
        <v>1.75</v>
      </c>
      <c r="B24" s="13">
        <f t="shared" si="2"/>
        <v>70</v>
      </c>
      <c r="C24">
        <v>2.2000000000000002</v>
      </c>
      <c r="D24">
        <v>9.1999999999999993</v>
      </c>
    </row>
    <row r="25" spans="1:4" x14ac:dyDescent="0.25">
      <c r="A25" s="14">
        <v>2</v>
      </c>
      <c r="B25" s="13">
        <f t="shared" si="2"/>
        <v>80</v>
      </c>
      <c r="C25">
        <v>1.5</v>
      </c>
      <c r="D25">
        <v>3.9</v>
      </c>
    </row>
    <row r="26" spans="1:4" x14ac:dyDescent="0.25">
      <c r="A26" s="14">
        <v>2.5</v>
      </c>
      <c r="B26" s="13">
        <f t="shared" si="2"/>
        <v>100</v>
      </c>
      <c r="C26">
        <v>0.8</v>
      </c>
      <c r="D26">
        <v>1.8</v>
      </c>
    </row>
    <row r="27" spans="1:4" x14ac:dyDescent="0.25">
      <c r="A27" s="14">
        <v>3</v>
      </c>
      <c r="B27" s="13">
        <f t="shared" si="2"/>
        <v>120</v>
      </c>
      <c r="C27">
        <v>0.5</v>
      </c>
      <c r="D27">
        <v>1.1000000000000001</v>
      </c>
    </row>
    <row r="28" spans="1:4" x14ac:dyDescent="0.25">
      <c r="A28" s="14">
        <v>4</v>
      </c>
      <c r="B28" s="13">
        <f t="shared" si="2"/>
        <v>160</v>
      </c>
      <c r="C28">
        <v>0.3</v>
      </c>
      <c r="D28">
        <v>0.6</v>
      </c>
    </row>
    <row r="29" spans="1:4" x14ac:dyDescent="0.25">
      <c r="A29" s="14">
        <v>5</v>
      </c>
      <c r="B29" s="13">
        <f t="shared" si="2"/>
        <v>200</v>
      </c>
      <c r="C29">
        <v>0.2</v>
      </c>
      <c r="D29">
        <v>0.3</v>
      </c>
    </row>
    <row r="45" spans="1:4" x14ac:dyDescent="0.25">
      <c r="A45" s="14">
        <v>1</v>
      </c>
      <c r="B45" s="13">
        <v>120</v>
      </c>
      <c r="C45" s="13" t="s">
        <v>70</v>
      </c>
      <c r="D45" s="13" t="s">
        <v>69</v>
      </c>
    </row>
    <row r="46" spans="1:4" x14ac:dyDescent="0.25">
      <c r="B46" t="s">
        <v>71</v>
      </c>
      <c r="C46" s="13" t="s">
        <v>72</v>
      </c>
      <c r="D46" s="13" t="s">
        <v>73</v>
      </c>
    </row>
    <row r="47" spans="1:4" x14ac:dyDescent="0.25">
      <c r="A47" s="14">
        <v>1.5</v>
      </c>
      <c r="B47" s="13">
        <f t="shared" ref="B47:B53" si="3">A47*$B$45</f>
        <v>180</v>
      </c>
      <c r="C47" s="13">
        <v>20</v>
      </c>
      <c r="D47" s="13">
        <v>150</v>
      </c>
    </row>
    <row r="48" spans="1:4" x14ac:dyDescent="0.25">
      <c r="A48" s="14">
        <v>1.75</v>
      </c>
      <c r="B48" s="13">
        <f t="shared" si="3"/>
        <v>210</v>
      </c>
      <c r="C48" s="13">
        <v>15</v>
      </c>
      <c r="D48" s="13">
        <v>75</v>
      </c>
    </row>
    <row r="49" spans="1:4" x14ac:dyDescent="0.25">
      <c r="A49" s="14">
        <v>2</v>
      </c>
      <c r="B49" s="13">
        <f t="shared" si="3"/>
        <v>240</v>
      </c>
      <c r="C49" s="13">
        <v>10</v>
      </c>
      <c r="D49" s="13">
        <v>38</v>
      </c>
    </row>
    <row r="50" spans="1:4" x14ac:dyDescent="0.25">
      <c r="A50" s="14">
        <v>2.5</v>
      </c>
      <c r="B50" s="13">
        <f t="shared" si="3"/>
        <v>300</v>
      </c>
      <c r="C50" s="13">
        <v>7</v>
      </c>
      <c r="D50" s="13">
        <v>18</v>
      </c>
    </row>
    <row r="51" spans="1:4" x14ac:dyDescent="0.25">
      <c r="A51" s="14">
        <v>3</v>
      </c>
      <c r="B51" s="13">
        <f t="shared" si="3"/>
        <v>360</v>
      </c>
      <c r="C51" s="13">
        <v>4</v>
      </c>
      <c r="D51" s="13">
        <v>12</v>
      </c>
    </row>
    <row r="52" spans="1:4" x14ac:dyDescent="0.25">
      <c r="A52" s="14">
        <v>4</v>
      </c>
      <c r="B52" s="13">
        <f t="shared" si="3"/>
        <v>480</v>
      </c>
      <c r="C52" s="13">
        <v>2</v>
      </c>
      <c r="D52" s="13">
        <v>6</v>
      </c>
    </row>
    <row r="53" spans="1:4" x14ac:dyDescent="0.25">
      <c r="A53" s="14">
        <v>5</v>
      </c>
      <c r="B53" s="13">
        <f t="shared" si="3"/>
        <v>600</v>
      </c>
      <c r="C53" s="13">
        <v>1</v>
      </c>
      <c r="D53" s="13">
        <v>3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3"/>
  <sheetViews>
    <sheetView showGridLines="0" workbookViewId="0">
      <selection activeCell="B3" sqref="B3"/>
    </sheetView>
  </sheetViews>
  <sheetFormatPr defaultRowHeight="15" x14ac:dyDescent="0.25"/>
  <cols>
    <col min="1" max="1" width="1.42578125" customWidth="1"/>
    <col min="2" max="2" width="10.85546875" customWidth="1"/>
    <col min="3" max="3" width="12.28515625" customWidth="1"/>
    <col min="4" max="4" width="64.28515625" customWidth="1"/>
  </cols>
  <sheetData>
    <row r="1" spans="2:4" ht="7.5" customHeight="1" x14ac:dyDescent="0.25"/>
    <row r="2" spans="2:4" x14ac:dyDescent="0.25">
      <c r="B2" s="80" t="s">
        <v>172</v>
      </c>
      <c r="C2" s="80" t="s">
        <v>173</v>
      </c>
      <c r="D2" s="81" t="s">
        <v>174</v>
      </c>
    </row>
    <row r="3" spans="2:4" ht="30" x14ac:dyDescent="0.25">
      <c r="B3" s="82">
        <v>0</v>
      </c>
      <c r="C3" s="83">
        <v>42682</v>
      </c>
      <c r="D3" s="84" t="s">
        <v>175</v>
      </c>
    </row>
    <row r="4" spans="2:4" x14ac:dyDescent="0.25">
      <c r="B4" s="82">
        <v>1</v>
      </c>
      <c r="C4" s="83"/>
      <c r="D4" s="84"/>
    </row>
    <row r="5" spans="2:4" x14ac:dyDescent="0.25">
      <c r="B5" s="82">
        <v>2</v>
      </c>
      <c r="C5" s="83"/>
      <c r="D5" s="84"/>
    </row>
    <row r="6" spans="2:4" x14ac:dyDescent="0.25">
      <c r="B6" s="82">
        <v>3</v>
      </c>
      <c r="C6" s="83"/>
      <c r="D6" s="84"/>
    </row>
    <row r="7" spans="2:4" x14ac:dyDescent="0.25">
      <c r="B7" s="82">
        <v>4</v>
      </c>
      <c r="C7" s="83"/>
      <c r="D7" s="84"/>
    </row>
    <row r="8" spans="2:4" x14ac:dyDescent="0.25">
      <c r="B8" s="82">
        <v>5</v>
      </c>
      <c r="C8" s="83"/>
      <c r="D8" s="84"/>
    </row>
    <row r="9" spans="2:4" x14ac:dyDescent="0.25">
      <c r="B9" s="82">
        <v>6</v>
      </c>
      <c r="C9" s="83"/>
      <c r="D9" s="84"/>
    </row>
    <row r="10" spans="2:4" x14ac:dyDescent="0.25">
      <c r="B10" s="82">
        <v>7</v>
      </c>
      <c r="C10" s="83"/>
      <c r="D10" s="84"/>
    </row>
    <row r="11" spans="2:4" x14ac:dyDescent="0.25">
      <c r="B11" s="82">
        <v>8</v>
      </c>
      <c r="C11" s="83"/>
      <c r="D11" s="84"/>
    </row>
    <row r="12" spans="2:4" x14ac:dyDescent="0.25">
      <c r="B12" s="82">
        <v>9</v>
      </c>
      <c r="C12" s="83"/>
      <c r="D12" s="84"/>
    </row>
    <row r="13" spans="2:4" x14ac:dyDescent="0.25">
      <c r="B13" s="82">
        <v>10</v>
      </c>
      <c r="C13" s="83"/>
      <c r="D13" s="8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Information</vt:lpstr>
      <vt:lpstr>TankDrive</vt:lpstr>
      <vt:lpstr>Mechanisms</vt:lpstr>
      <vt:lpstr>Pneumatics</vt:lpstr>
      <vt:lpstr>Belt - Chain Center Distance</vt:lpstr>
      <vt:lpstr>Data</vt:lpstr>
      <vt:lpstr>Revision Log</vt:lpstr>
      <vt:lpstr>Contact</vt:lpstr>
      <vt:lpstr>Motors</vt:lpstr>
      <vt:lpstr>Rollers</vt:lpstr>
      <vt:lpstr>Specs</vt:lpstr>
    </vt:vector>
  </TitlesOfParts>
  <Company>Woodward,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dpyle</dc:creator>
  <cp:lastModifiedBy>dpyle</cp:lastModifiedBy>
  <cp:lastPrinted>2016-11-08T16:31:16Z</cp:lastPrinted>
  <dcterms:created xsi:type="dcterms:W3CDTF">2016-10-18T14:32:34Z</dcterms:created>
  <dcterms:modified xsi:type="dcterms:W3CDTF">2016-11-08T20:05:14Z</dcterms:modified>
</cp:coreProperties>
</file>