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4290" windowWidth="19230" windowHeight="4350"/>
  </bookViews>
  <sheets>
    <sheet name="Grand Total" sheetId="2" r:id="rId1"/>
    <sheet name="Week 1" sheetId="1" r:id="rId2"/>
    <sheet name="Week 2" sheetId="3" r:id="rId3"/>
    <sheet name="Week 3" sheetId="4" r:id="rId4"/>
    <sheet name="Week 4" sheetId="5" r:id="rId5"/>
    <sheet name="Week 5" sheetId="7" r:id="rId6"/>
    <sheet name="Week 6" sheetId="6" r:id="rId7"/>
    <sheet name="Regional Championships" sheetId="8" r:id="rId8"/>
    <sheet name="World Championships" sheetId="9" r:id="rId9"/>
  </sheets>
  <calcPr calcId="145621"/>
</workbook>
</file>

<file path=xl/calcChain.xml><?xml version="1.0" encoding="utf-8"?>
<calcChain xmlns="http://schemas.openxmlformats.org/spreadsheetml/2006/main">
  <c r="U12" i="9" l="1"/>
  <c r="U10" i="9"/>
  <c r="U14" i="9"/>
  <c r="U7" i="9"/>
  <c r="U5" i="9"/>
  <c r="U13" i="9"/>
  <c r="U11" i="9"/>
  <c r="U6" i="9"/>
  <c r="U4" i="9"/>
  <c r="U8" i="9"/>
  <c r="U3" i="9"/>
  <c r="U9" i="9"/>
  <c r="P7" i="9" l="1"/>
  <c r="P12" i="9"/>
  <c r="P10" i="9"/>
  <c r="P8" i="9"/>
  <c r="P6" i="9"/>
  <c r="P5" i="9"/>
  <c r="P13" i="9"/>
  <c r="P11" i="9"/>
  <c r="P4" i="9"/>
  <c r="P14" i="9"/>
  <c r="P9" i="9"/>
  <c r="P3" i="9"/>
  <c r="K7" i="9" l="1"/>
  <c r="K10" i="9"/>
  <c r="K13" i="9"/>
  <c r="K12" i="9"/>
  <c r="K8" i="9"/>
  <c r="K4" i="9"/>
  <c r="K5" i="9"/>
  <c r="K3" i="9"/>
  <c r="K11" i="9"/>
  <c r="K6" i="9"/>
  <c r="K14" i="9"/>
  <c r="K9" i="9"/>
  <c r="F4" i="9" l="1"/>
  <c r="F8" i="9"/>
  <c r="F6" i="9"/>
  <c r="F11" i="9"/>
  <c r="F13" i="9"/>
  <c r="F12" i="9"/>
  <c r="F9" i="9"/>
  <c r="F7" i="9"/>
  <c r="F10" i="9"/>
  <c r="F5" i="9"/>
  <c r="F3" i="9"/>
  <c r="F14" i="9"/>
  <c r="V4" i="9" l="1"/>
  <c r="E4" i="8" l="1"/>
  <c r="E10" i="8"/>
  <c r="E11" i="8"/>
  <c r="E12" i="8"/>
  <c r="E9" i="8"/>
  <c r="E7" i="8"/>
  <c r="E6" i="8"/>
  <c r="E14" i="8"/>
  <c r="E5" i="8"/>
  <c r="E13" i="8"/>
  <c r="E8" i="8"/>
  <c r="E3" i="8"/>
  <c r="I3" i="8"/>
  <c r="I12" i="8"/>
  <c r="I11" i="8"/>
  <c r="I4" i="8"/>
  <c r="I5" i="8"/>
  <c r="I7" i="8"/>
  <c r="I9" i="8"/>
  <c r="I10" i="8"/>
  <c r="I13" i="8"/>
  <c r="I14" i="8"/>
  <c r="I6" i="8"/>
  <c r="I8" i="8"/>
  <c r="J3" i="2" l="1"/>
  <c r="V5" i="9"/>
  <c r="V6" i="9"/>
  <c r="V7" i="9"/>
  <c r="V8" i="9"/>
  <c r="V9" i="9"/>
  <c r="V10" i="9"/>
  <c r="V11" i="9"/>
  <c r="V12" i="9"/>
  <c r="V13" i="9"/>
  <c r="V14" i="9"/>
  <c r="J13" i="2" s="1"/>
  <c r="V3" i="9"/>
  <c r="J2" i="2" l="1"/>
  <c r="J12" i="2"/>
  <c r="J10" i="2"/>
  <c r="J8" i="2"/>
  <c r="J6" i="2"/>
  <c r="J4" i="2"/>
  <c r="J11" i="2"/>
  <c r="J9" i="2"/>
  <c r="J7" i="2"/>
  <c r="J5" i="2"/>
  <c r="Z14" i="6"/>
  <c r="Z11" i="6"/>
  <c r="Z10" i="6"/>
  <c r="Z8" i="6"/>
  <c r="Z12" i="6"/>
  <c r="Z7" i="6"/>
  <c r="Z4" i="6"/>
  <c r="Z6" i="6"/>
  <c r="Z5" i="6"/>
  <c r="Z3" i="6"/>
  <c r="Z13" i="6"/>
  <c r="Z9" i="6"/>
  <c r="AE14" i="6"/>
  <c r="AE10" i="6"/>
  <c r="AE11" i="6"/>
  <c r="AE6" i="6"/>
  <c r="AE4" i="6"/>
  <c r="AE3" i="6"/>
  <c r="AE12" i="6"/>
  <c r="AE9" i="6"/>
  <c r="AE8" i="6"/>
  <c r="AE5" i="6"/>
  <c r="AE7" i="6"/>
  <c r="AE13" i="6"/>
  <c r="U3" i="6"/>
  <c r="U8" i="6"/>
  <c r="U11" i="6"/>
  <c r="U10" i="6"/>
  <c r="U13" i="6"/>
  <c r="U6" i="6"/>
  <c r="U5" i="6"/>
  <c r="U4" i="6"/>
  <c r="U14" i="6"/>
  <c r="U9" i="6"/>
  <c r="U7" i="6"/>
  <c r="U12" i="6"/>
  <c r="P3" i="6"/>
  <c r="P6" i="6"/>
  <c r="P7" i="6"/>
  <c r="P8" i="6"/>
  <c r="P9" i="6"/>
  <c r="P11" i="6"/>
  <c r="P14" i="6"/>
  <c r="P13" i="6"/>
  <c r="P12" i="6"/>
  <c r="P10" i="6"/>
  <c r="P5" i="6"/>
  <c r="P4" i="6"/>
  <c r="K10" i="6"/>
  <c r="K6" i="6"/>
  <c r="K14" i="6"/>
  <c r="K13" i="6"/>
  <c r="K12" i="6"/>
  <c r="K11" i="6"/>
  <c r="K9" i="6"/>
  <c r="K8" i="6"/>
  <c r="K7" i="6"/>
  <c r="K5" i="6"/>
  <c r="K4" i="6"/>
  <c r="K3" i="6"/>
  <c r="F14" i="6"/>
  <c r="F13" i="6"/>
  <c r="F11" i="6"/>
  <c r="F9" i="6"/>
  <c r="F8" i="6"/>
  <c r="F5" i="6"/>
  <c r="F4" i="6"/>
  <c r="F10" i="6"/>
  <c r="F7" i="6"/>
  <c r="F6" i="6"/>
  <c r="F3" i="6"/>
  <c r="F12" i="6"/>
  <c r="AF4" i="6" l="1"/>
  <c r="BN14" i="7"/>
  <c r="BN12" i="7"/>
  <c r="BN10" i="7"/>
  <c r="BN9" i="7"/>
  <c r="BN13" i="7"/>
  <c r="BN8" i="7"/>
  <c r="BN6" i="7"/>
  <c r="BN5" i="7"/>
  <c r="BN3" i="7"/>
  <c r="BN11" i="7"/>
  <c r="BN7" i="7"/>
  <c r="BN4" i="7"/>
  <c r="BI13" i="7"/>
  <c r="BI12" i="7"/>
  <c r="BI9" i="7"/>
  <c r="BI8" i="7"/>
  <c r="BI4" i="7"/>
  <c r="BI11" i="7"/>
  <c r="BI10" i="7"/>
  <c r="BI7" i="7"/>
  <c r="BI6" i="7"/>
  <c r="BI3" i="7"/>
  <c r="BI14" i="7"/>
  <c r="BI5" i="7"/>
  <c r="BS11" i="5"/>
  <c r="BS9" i="5"/>
  <c r="BS8" i="5"/>
  <c r="BS3" i="5"/>
  <c r="BS6" i="5"/>
  <c r="BS12" i="5"/>
  <c r="BS13" i="5"/>
  <c r="BS10" i="5"/>
  <c r="BS5" i="5"/>
  <c r="BS4" i="5"/>
  <c r="BS14" i="5"/>
  <c r="BS7" i="5"/>
  <c r="BN14" i="5"/>
  <c r="BN6" i="5"/>
  <c r="BN3" i="5"/>
  <c r="BN13" i="5"/>
  <c r="BN12" i="5"/>
  <c r="BN11" i="5"/>
  <c r="BN8" i="5"/>
  <c r="BN5" i="5"/>
  <c r="BN4" i="5"/>
  <c r="BN7" i="5"/>
  <c r="BN9" i="5"/>
  <c r="BN10" i="5"/>
  <c r="BD10" i="4"/>
  <c r="BD9" i="4"/>
  <c r="BD8" i="4"/>
  <c r="BD7" i="4"/>
  <c r="BD4" i="4"/>
  <c r="BD14" i="4"/>
  <c r="BD13" i="4"/>
  <c r="BD12" i="4"/>
  <c r="BD11" i="4"/>
  <c r="BD5" i="4"/>
  <c r="BD3" i="4"/>
  <c r="BD6" i="4"/>
  <c r="AY3" i="4"/>
  <c r="AY4" i="4"/>
  <c r="AY6" i="4"/>
  <c r="AY7" i="4"/>
  <c r="AY10" i="4"/>
  <c r="AY13" i="4"/>
  <c r="AY14" i="4"/>
  <c r="AY11" i="4"/>
  <c r="AY9" i="4"/>
  <c r="AY8" i="4"/>
  <c r="AY5" i="4"/>
  <c r="AY12" i="4"/>
  <c r="AY3" i="3"/>
  <c r="AY7" i="3"/>
  <c r="AY11" i="3"/>
  <c r="AY10" i="3"/>
  <c r="AY9" i="3"/>
  <c r="AY14" i="3"/>
  <c r="AY13" i="3"/>
  <c r="AY4" i="3"/>
  <c r="AY6" i="3"/>
  <c r="AY8" i="3"/>
  <c r="AY12" i="3"/>
  <c r="AY5" i="3"/>
  <c r="BD13" i="7" l="1"/>
  <c r="BD3" i="7"/>
  <c r="BD6" i="7"/>
  <c r="BD11" i="7"/>
  <c r="BD12" i="7"/>
  <c r="BD14" i="7"/>
  <c r="BD10" i="7"/>
  <c r="BD8" i="7"/>
  <c r="BD7" i="7"/>
  <c r="BD5" i="7"/>
  <c r="BD4" i="7"/>
  <c r="BD9" i="7"/>
  <c r="AY3" i="7"/>
  <c r="AY5" i="7"/>
  <c r="AY6" i="7"/>
  <c r="AY8" i="7"/>
  <c r="AY10" i="7"/>
  <c r="AY11" i="7"/>
  <c r="AY12" i="7"/>
  <c r="AY14" i="7"/>
  <c r="AY13" i="7"/>
  <c r="AY4" i="7"/>
  <c r="AY7" i="7"/>
  <c r="AY9" i="7"/>
  <c r="AT11" i="7"/>
  <c r="AT6" i="7"/>
  <c r="AT3" i="7"/>
  <c r="AT4" i="7"/>
  <c r="AT8" i="7"/>
  <c r="AT12" i="7"/>
  <c r="AT14" i="7"/>
  <c r="AT13" i="7"/>
  <c r="AT7" i="7"/>
  <c r="AT5" i="7"/>
  <c r="AT10" i="7"/>
  <c r="AT9" i="7"/>
  <c r="AO10" i="7"/>
  <c r="AO9" i="7"/>
  <c r="AO8" i="7"/>
  <c r="AO6" i="7"/>
  <c r="AO5" i="7"/>
  <c r="AO4" i="7"/>
  <c r="AO3" i="7"/>
  <c r="AO7" i="7"/>
  <c r="AO13" i="7"/>
  <c r="AO14" i="7"/>
  <c r="AO12" i="7"/>
  <c r="AO11" i="7"/>
  <c r="AJ14" i="7"/>
  <c r="AJ13" i="7"/>
  <c r="AJ12" i="7"/>
  <c r="AJ10" i="7"/>
  <c r="AJ9" i="7"/>
  <c r="AJ7" i="7"/>
  <c r="AJ6" i="7"/>
  <c r="AJ4" i="7"/>
  <c r="AJ5" i="7"/>
  <c r="AJ8" i="7"/>
  <c r="AJ11" i="7"/>
  <c r="AJ3" i="7"/>
  <c r="AE4" i="7" l="1"/>
  <c r="AE14" i="7"/>
  <c r="AE8" i="7"/>
  <c r="AE9" i="7"/>
  <c r="AE13" i="7"/>
  <c r="AE6" i="7"/>
  <c r="AE3" i="7"/>
  <c r="AE7" i="7"/>
  <c r="AE11" i="7"/>
  <c r="AE12" i="7"/>
  <c r="AE5" i="7"/>
  <c r="AE10" i="7"/>
  <c r="Z12" i="7"/>
  <c r="Z11" i="7"/>
  <c r="Z10" i="7"/>
  <c r="Z9" i="7"/>
  <c r="Z5" i="7"/>
  <c r="Z3" i="7"/>
  <c r="Z7" i="7"/>
  <c r="Z8" i="7"/>
  <c r="Z13" i="7"/>
  <c r="Z6" i="7"/>
  <c r="Z4" i="7"/>
  <c r="Z14" i="7"/>
  <c r="U14" i="7"/>
  <c r="U13" i="7"/>
  <c r="U11" i="7"/>
  <c r="U8" i="7"/>
  <c r="U6" i="7"/>
  <c r="U3" i="7"/>
  <c r="U4" i="7"/>
  <c r="U10" i="7"/>
  <c r="U9" i="7"/>
  <c r="U5" i="7"/>
  <c r="U7" i="7"/>
  <c r="U12" i="7"/>
  <c r="K3" i="7"/>
  <c r="K14" i="7"/>
  <c r="K11" i="7"/>
  <c r="K10" i="7"/>
  <c r="K8" i="7"/>
  <c r="K6" i="7"/>
  <c r="K5" i="7"/>
  <c r="K4" i="7"/>
  <c r="K7" i="7"/>
  <c r="K9" i="7"/>
  <c r="K12" i="7"/>
  <c r="K13" i="7"/>
  <c r="P14" i="7"/>
  <c r="P12" i="7"/>
  <c r="P11" i="7"/>
  <c r="P3" i="7"/>
  <c r="P4" i="7"/>
  <c r="P9" i="7"/>
  <c r="P13" i="7"/>
  <c r="P5" i="7"/>
  <c r="P10" i="7"/>
  <c r="P6" i="7"/>
  <c r="P8" i="7"/>
  <c r="P7" i="7"/>
  <c r="F3" i="7"/>
  <c r="F9" i="7"/>
  <c r="F5" i="7"/>
  <c r="F14" i="7"/>
  <c r="F10" i="7"/>
  <c r="F4" i="7"/>
  <c r="F11" i="7"/>
  <c r="F12" i="7"/>
  <c r="F6" i="7"/>
  <c r="F8" i="7"/>
  <c r="F13" i="7"/>
  <c r="F7" i="7"/>
  <c r="BI14" i="5" l="1"/>
  <c r="BI12" i="5"/>
  <c r="BI9" i="5"/>
  <c r="BI7" i="5"/>
  <c r="BI3" i="5"/>
  <c r="BI5" i="5"/>
  <c r="BI6" i="5"/>
  <c r="BI8" i="5"/>
  <c r="BI11" i="5"/>
  <c r="BI13" i="5"/>
  <c r="BI10" i="5"/>
  <c r="BI4" i="5"/>
  <c r="BD3" i="5"/>
  <c r="BD8" i="5"/>
  <c r="BD14" i="5"/>
  <c r="BD12" i="5"/>
  <c r="BD11" i="5"/>
  <c r="BD5" i="5"/>
  <c r="BD6" i="5"/>
  <c r="BD9" i="5"/>
  <c r="BD13" i="5"/>
  <c r="BD10" i="5"/>
  <c r="BD7" i="5"/>
  <c r="BD4" i="5"/>
  <c r="AY4" i="5"/>
  <c r="AY9" i="5"/>
  <c r="AY11" i="5"/>
  <c r="AY13" i="5"/>
  <c r="AY14" i="5"/>
  <c r="AY12" i="5"/>
  <c r="AY10" i="5"/>
  <c r="AY8" i="5"/>
  <c r="AY7" i="5"/>
  <c r="AY5" i="5"/>
  <c r="AY3" i="5"/>
  <c r="AY6" i="5"/>
  <c r="AT14" i="5"/>
  <c r="AT10" i="5"/>
  <c r="AT9" i="5"/>
  <c r="AT8" i="5"/>
  <c r="AT3" i="5"/>
  <c r="AT4" i="5"/>
  <c r="AT12" i="5"/>
  <c r="AT13" i="5"/>
  <c r="AT11" i="5"/>
  <c r="AT7" i="5"/>
  <c r="AT5" i="5"/>
  <c r="AT6" i="5"/>
  <c r="AO14" i="5"/>
  <c r="AO10" i="5"/>
  <c r="AO6" i="5"/>
  <c r="AO5" i="5"/>
  <c r="AO3" i="5"/>
  <c r="AO4" i="5"/>
  <c r="AO9" i="5"/>
  <c r="AO11" i="5"/>
  <c r="AO12" i="5"/>
  <c r="AO13" i="5"/>
  <c r="AO7" i="5"/>
  <c r="AO8" i="5"/>
  <c r="AJ3" i="5"/>
  <c r="AJ6" i="5"/>
  <c r="AJ14" i="5"/>
  <c r="AJ13" i="5"/>
  <c r="AJ12" i="5"/>
  <c r="AJ11" i="5"/>
  <c r="AJ10" i="5"/>
  <c r="AJ4" i="5"/>
  <c r="AJ5" i="5"/>
  <c r="AJ7" i="5"/>
  <c r="AJ9" i="5"/>
  <c r="AJ8" i="5"/>
  <c r="AE14" i="5" l="1"/>
  <c r="AE12" i="5"/>
  <c r="AE3" i="5"/>
  <c r="AE4" i="5"/>
  <c r="AE6" i="5"/>
  <c r="AE9" i="5"/>
  <c r="AE10" i="5"/>
  <c r="AE11" i="5"/>
  <c r="AE7" i="5"/>
  <c r="AE5" i="5"/>
  <c r="AE8" i="5"/>
  <c r="AE13" i="5"/>
  <c r="Z10" i="5"/>
  <c r="Z3" i="5"/>
  <c r="Z5" i="5"/>
  <c r="Z6" i="5"/>
  <c r="Z9" i="5"/>
  <c r="Z12" i="5"/>
  <c r="Z13" i="5"/>
  <c r="Z14" i="5"/>
  <c r="Z11" i="5"/>
  <c r="Z8" i="5"/>
  <c r="Z4" i="5"/>
  <c r="Z7" i="5"/>
  <c r="U10" i="5"/>
  <c r="U3" i="5"/>
  <c r="U6" i="5"/>
  <c r="U7" i="5"/>
  <c r="U11" i="5"/>
  <c r="U12" i="5"/>
  <c r="U14" i="5"/>
  <c r="U9" i="5"/>
  <c r="U5" i="5"/>
  <c r="U4" i="5"/>
  <c r="U13" i="5"/>
  <c r="U8" i="5"/>
  <c r="P14" i="5" l="1"/>
  <c r="P13" i="5"/>
  <c r="P12" i="5"/>
  <c r="P9" i="5"/>
  <c r="P6" i="5"/>
  <c r="P5" i="5"/>
  <c r="P4" i="5"/>
  <c r="P3" i="5"/>
  <c r="P8" i="5"/>
  <c r="P7" i="5"/>
  <c r="P11" i="5"/>
  <c r="P10" i="5"/>
  <c r="K14" i="5" l="1"/>
  <c r="K10" i="5"/>
  <c r="K6" i="5"/>
  <c r="K3" i="5"/>
  <c r="K4" i="5"/>
  <c r="K5" i="5"/>
  <c r="K7" i="5"/>
  <c r="K11" i="5"/>
  <c r="K13" i="5"/>
  <c r="K12" i="5"/>
  <c r="K8" i="5"/>
  <c r="K9" i="5"/>
  <c r="F11" i="5"/>
  <c r="F9" i="5"/>
  <c r="F8" i="5"/>
  <c r="F4" i="5"/>
  <c r="F3" i="5"/>
  <c r="F5" i="5"/>
  <c r="F6" i="5"/>
  <c r="F7" i="5"/>
  <c r="F13" i="5"/>
  <c r="F14" i="5"/>
  <c r="F10" i="5"/>
  <c r="F12" i="5"/>
  <c r="AT13" i="1"/>
  <c r="AT7" i="1"/>
  <c r="AT9" i="1"/>
  <c r="AT8" i="1"/>
  <c r="AT6" i="1"/>
  <c r="AT5" i="1"/>
  <c r="AT14" i="1"/>
  <c r="AT12" i="1"/>
  <c r="AT10" i="1"/>
  <c r="AT4" i="1"/>
  <c r="AT3" i="1"/>
  <c r="AJ14" i="1"/>
  <c r="AJ4" i="1"/>
  <c r="AJ13" i="1"/>
  <c r="AJ11" i="1"/>
  <c r="AJ9" i="1"/>
  <c r="AJ7" i="1"/>
  <c r="AJ3" i="1"/>
  <c r="AJ10" i="1"/>
  <c r="AJ6" i="1"/>
  <c r="AJ8" i="1"/>
  <c r="AJ5" i="1"/>
  <c r="AT10" i="4" l="1"/>
  <c r="AT12" i="4"/>
  <c r="AT11" i="4"/>
  <c r="AT8" i="4"/>
  <c r="AT5" i="4"/>
  <c r="AT9" i="4"/>
  <c r="AT14" i="4"/>
  <c r="AT3" i="4"/>
  <c r="AT6" i="4"/>
  <c r="AT13" i="4"/>
  <c r="AT4" i="4"/>
  <c r="AT7" i="4"/>
  <c r="AO14" i="4" l="1"/>
  <c r="AO13" i="4"/>
  <c r="AO11" i="4"/>
  <c r="AO10" i="4"/>
  <c r="AO9" i="4"/>
  <c r="AO3" i="4"/>
  <c r="AO4" i="4"/>
  <c r="AO6" i="4"/>
  <c r="AO8" i="4"/>
  <c r="AO12" i="4"/>
  <c r="AO5" i="4"/>
  <c r="AO7" i="4"/>
  <c r="AJ9" i="4"/>
  <c r="AJ3" i="4"/>
  <c r="AJ4" i="4"/>
  <c r="AJ8" i="4"/>
  <c r="AJ10" i="4"/>
  <c r="AJ11" i="4"/>
  <c r="AJ13" i="4"/>
  <c r="AJ14" i="4"/>
  <c r="AJ7" i="4"/>
  <c r="AJ12" i="4"/>
  <c r="AJ6" i="4"/>
  <c r="AJ5" i="4"/>
  <c r="AE9" i="4" l="1"/>
  <c r="AE8" i="4"/>
  <c r="AE3" i="4"/>
  <c r="AE14" i="4"/>
  <c r="AE11" i="4"/>
  <c r="AE10" i="4"/>
  <c r="AE7" i="4"/>
  <c r="AE6" i="4"/>
  <c r="AE5" i="4"/>
  <c r="AE4" i="4"/>
  <c r="AE12" i="4"/>
  <c r="AE13" i="4"/>
  <c r="F3" i="4" l="1"/>
  <c r="F13" i="4"/>
  <c r="F14" i="4"/>
  <c r="F12" i="4"/>
  <c r="F11" i="4"/>
  <c r="F10" i="4"/>
  <c r="F9" i="4"/>
  <c r="F8" i="4"/>
  <c r="F4" i="4"/>
  <c r="F7" i="4"/>
  <c r="F5" i="4"/>
  <c r="F6" i="4"/>
  <c r="K6" i="4"/>
  <c r="K8" i="4"/>
  <c r="K9" i="4"/>
  <c r="K10" i="4"/>
  <c r="K11" i="4"/>
  <c r="K14" i="4"/>
  <c r="K13" i="4"/>
  <c r="K12" i="4"/>
  <c r="K7" i="4"/>
  <c r="K5" i="4"/>
  <c r="K4" i="4"/>
  <c r="K3" i="4"/>
  <c r="P3" i="4" l="1"/>
  <c r="P5" i="4"/>
  <c r="P10" i="4"/>
  <c r="P12" i="4"/>
  <c r="P13" i="4"/>
  <c r="P14" i="4"/>
  <c r="P11" i="4"/>
  <c r="P9" i="4"/>
  <c r="P8" i="4"/>
  <c r="P7" i="4"/>
  <c r="P6" i="4"/>
  <c r="P4" i="4"/>
  <c r="BS4" i="7" l="1"/>
  <c r="BS8" i="7"/>
  <c r="BS11" i="7"/>
  <c r="BS14" i="7"/>
  <c r="BS13" i="7"/>
  <c r="BS10" i="7"/>
  <c r="BS9" i="7"/>
  <c r="BS6" i="7"/>
  <c r="BS5" i="7"/>
  <c r="BS3" i="7"/>
  <c r="BS12" i="7"/>
  <c r="BS7" i="7"/>
  <c r="AE10" i="1"/>
  <c r="AE14" i="1"/>
  <c r="AE4" i="1"/>
  <c r="AE5" i="1"/>
  <c r="AE11" i="1"/>
  <c r="AE9" i="1"/>
  <c r="AE6" i="1"/>
  <c r="AE12" i="1"/>
  <c r="AE13" i="1"/>
  <c r="AE8" i="1"/>
  <c r="AE7" i="1"/>
  <c r="Z10" i="1"/>
  <c r="Z14" i="1"/>
  <c r="Z5" i="1"/>
  <c r="Z11" i="1"/>
  <c r="Z4" i="1"/>
  <c r="Z6" i="1"/>
  <c r="Z8" i="1"/>
  <c r="Z12" i="1"/>
  <c r="Z13" i="1"/>
  <c r="Z7" i="1"/>
  <c r="U3" i="4" l="1"/>
  <c r="U6" i="4"/>
  <c r="U8" i="4"/>
  <c r="U13" i="4"/>
  <c r="U14" i="4"/>
  <c r="U11" i="4"/>
  <c r="U10" i="4"/>
  <c r="U7" i="4"/>
  <c r="U5" i="4"/>
  <c r="U12" i="4"/>
  <c r="U4" i="4"/>
  <c r="U9" i="4"/>
  <c r="AO10" i="1"/>
  <c r="AO14" i="1"/>
  <c r="AO12" i="1"/>
  <c r="AO8" i="1"/>
  <c r="AO7" i="1"/>
  <c r="AO5" i="1"/>
  <c r="AO4" i="1"/>
  <c r="AO13" i="1"/>
  <c r="AO6" i="1"/>
  <c r="AO11" i="1"/>
  <c r="BT4" i="7" l="1"/>
  <c r="AT14" i="3"/>
  <c r="AT3" i="3"/>
  <c r="AT6" i="3"/>
  <c r="AT8" i="3"/>
  <c r="AT10" i="3"/>
  <c r="AT13" i="3"/>
  <c r="AT12" i="3"/>
  <c r="AT11" i="3"/>
  <c r="AT5" i="3"/>
  <c r="AT4" i="3"/>
  <c r="AT7" i="3"/>
  <c r="AT9" i="3"/>
  <c r="AO11" i="3" l="1"/>
  <c r="AO3" i="3"/>
  <c r="AO4" i="3"/>
  <c r="AO6" i="3"/>
  <c r="AO8" i="3"/>
  <c r="AO14" i="3"/>
  <c r="AO13" i="3"/>
  <c r="AO10" i="3"/>
  <c r="AO5" i="3"/>
  <c r="AO7" i="3"/>
  <c r="AO12" i="3"/>
  <c r="AO9" i="3"/>
  <c r="H13" i="2" l="1"/>
  <c r="J4" i="8"/>
  <c r="H3" i="2" s="1"/>
  <c r="J5" i="8"/>
  <c r="H4" i="2" s="1"/>
  <c r="J6" i="8"/>
  <c r="H5" i="2" s="1"/>
  <c r="J7" i="8"/>
  <c r="H6" i="2" s="1"/>
  <c r="J8" i="8"/>
  <c r="H7" i="2" s="1"/>
  <c r="J9" i="8"/>
  <c r="H8" i="2" s="1"/>
  <c r="J10" i="8"/>
  <c r="H9" i="2" s="1"/>
  <c r="J11" i="8"/>
  <c r="H10" i="2" s="1"/>
  <c r="J12" i="8"/>
  <c r="H11" i="2" s="1"/>
  <c r="J13" i="8"/>
  <c r="H12" i="2" s="1"/>
  <c r="J14" i="8"/>
  <c r="J3" i="8"/>
  <c r="H2" i="2" s="1"/>
  <c r="AE13" i="3"/>
  <c r="AE10" i="3"/>
  <c r="AE9" i="3"/>
  <c r="AE4" i="3"/>
  <c r="AE3" i="3"/>
  <c r="AE14" i="3"/>
  <c r="AE11" i="3"/>
  <c r="AE7" i="3"/>
  <c r="AE6" i="3"/>
  <c r="AE12" i="3"/>
  <c r="AE8" i="3"/>
  <c r="AE5" i="3"/>
  <c r="Z3" i="3"/>
  <c r="Z14" i="3"/>
  <c r="Z11" i="3"/>
  <c r="Z10" i="3"/>
  <c r="Z4" i="3"/>
  <c r="Z12" i="3"/>
  <c r="Z13" i="3"/>
  <c r="Z6" i="3"/>
  <c r="Z7" i="3"/>
  <c r="Z8" i="3"/>
  <c r="Z9" i="3"/>
  <c r="Z5" i="3"/>
  <c r="BD5" i="3" l="1"/>
  <c r="BD10" i="3"/>
  <c r="U14" i="3" l="1"/>
  <c r="U8" i="3"/>
  <c r="U9" i="3"/>
  <c r="U5" i="3"/>
  <c r="U13" i="3"/>
  <c r="U6" i="3"/>
  <c r="U4" i="3"/>
  <c r="U3" i="3"/>
  <c r="U11" i="3"/>
  <c r="U10" i="3"/>
  <c r="U7" i="3"/>
  <c r="U12" i="3"/>
  <c r="BI6" i="3" l="1"/>
  <c r="BI8" i="3"/>
  <c r="BI13" i="3"/>
  <c r="BI14" i="3"/>
  <c r="BI3" i="3"/>
  <c r="BI5" i="3"/>
  <c r="BI12" i="3"/>
  <c r="BI11" i="3"/>
  <c r="BI10" i="3"/>
  <c r="BI9" i="3"/>
  <c r="BI7" i="3"/>
  <c r="BI4" i="3"/>
  <c r="BX4" i="5" l="1"/>
  <c r="BX12" i="5"/>
  <c r="BX14" i="5"/>
  <c r="BX11" i="5"/>
  <c r="BX9" i="5"/>
  <c r="BX3" i="5"/>
  <c r="BX6" i="5"/>
  <c r="BX13" i="5"/>
  <c r="BX8" i="5"/>
  <c r="BX5" i="5"/>
  <c r="BX10" i="5"/>
  <c r="BX7" i="5"/>
  <c r="BD14" i="3"/>
  <c r="BD11" i="3"/>
  <c r="BD6" i="3"/>
  <c r="BD7" i="3"/>
  <c r="BD12" i="3"/>
  <c r="BD3" i="3"/>
  <c r="BD4" i="3"/>
  <c r="BD8" i="3"/>
  <c r="BD9" i="3"/>
  <c r="BD13" i="3"/>
  <c r="AJ12" i="3" l="1"/>
  <c r="AJ7" i="3"/>
  <c r="AJ5" i="3"/>
  <c r="AJ13" i="3"/>
  <c r="AJ8" i="3"/>
  <c r="AJ9" i="3"/>
  <c r="AJ10" i="3"/>
  <c r="AJ11" i="3"/>
  <c r="AJ6" i="3"/>
  <c r="AJ3" i="3"/>
  <c r="AJ14" i="3"/>
  <c r="AJ4" i="3"/>
  <c r="BY4" i="5" l="1"/>
  <c r="U14" i="1"/>
  <c r="U13" i="1"/>
  <c r="U12" i="1"/>
  <c r="U10" i="1"/>
  <c r="U7" i="1"/>
  <c r="U6" i="1"/>
  <c r="U5" i="1"/>
  <c r="U4" i="1"/>
  <c r="U3" i="1"/>
  <c r="P14" i="1"/>
  <c r="P13" i="1"/>
  <c r="P12" i="1"/>
  <c r="P11" i="1"/>
  <c r="P10" i="1"/>
  <c r="P9" i="1"/>
  <c r="P7" i="1"/>
  <c r="P6" i="1"/>
  <c r="P5" i="1"/>
  <c r="P4" i="1"/>
  <c r="P3" i="1"/>
  <c r="F14" i="1"/>
  <c r="F13" i="1"/>
  <c r="F12" i="1"/>
  <c r="F10" i="1"/>
  <c r="F9" i="1"/>
  <c r="F8" i="1"/>
  <c r="F7" i="1"/>
  <c r="F6" i="1"/>
  <c r="F4" i="1"/>
  <c r="F5" i="1"/>
  <c r="F3" i="1"/>
  <c r="Z5" i="4" l="1"/>
  <c r="BE5" i="4" s="1"/>
  <c r="D4" i="2" s="1"/>
  <c r="Z3" i="4"/>
  <c r="BE3" i="4" s="1"/>
  <c r="D2" i="2" s="1"/>
  <c r="Z9" i="4"/>
  <c r="BE9" i="4" s="1"/>
  <c r="D8" i="2" s="1"/>
  <c r="Z10" i="4"/>
  <c r="BE10" i="4" s="1"/>
  <c r="D9" i="2" s="1"/>
  <c r="Z4" i="4"/>
  <c r="BE4" i="4" s="1"/>
  <c r="Z14" i="4"/>
  <c r="BE14" i="4" s="1"/>
  <c r="D13" i="2" s="1"/>
  <c r="Z11" i="4"/>
  <c r="BE11" i="4" s="1"/>
  <c r="D10" i="2" s="1"/>
  <c r="Z8" i="4"/>
  <c r="BE8" i="4" s="1"/>
  <c r="D7" i="2" s="1"/>
  <c r="Z7" i="4"/>
  <c r="BE7" i="4" s="1"/>
  <c r="D6" i="2" s="1"/>
  <c r="Z12" i="4"/>
  <c r="BE12" i="4" s="1"/>
  <c r="D11" i="2" s="1"/>
  <c r="Z13" i="4"/>
  <c r="BE13" i="4" s="1"/>
  <c r="D12" i="2" s="1"/>
  <c r="Z6" i="4"/>
  <c r="BE6" i="4" s="1"/>
  <c r="D5" i="2" s="1"/>
  <c r="D3" i="2" l="1"/>
  <c r="P14" i="3"/>
  <c r="P11" i="3"/>
  <c r="P9" i="3"/>
  <c r="P5" i="3"/>
  <c r="P3" i="3"/>
  <c r="P6" i="3"/>
  <c r="P4" i="3"/>
  <c r="P12" i="3"/>
  <c r="P13" i="3"/>
  <c r="P10" i="3"/>
  <c r="P7" i="3"/>
  <c r="P8" i="3"/>
  <c r="K7" i="1" l="1"/>
  <c r="K11" i="1"/>
  <c r="K6" i="1"/>
  <c r="K12" i="1"/>
  <c r="K8" i="1"/>
  <c r="K13" i="1"/>
  <c r="K9" i="1"/>
  <c r="K3" i="3" l="1"/>
  <c r="K6" i="3"/>
  <c r="K9" i="3"/>
  <c r="K12" i="3"/>
  <c r="K14" i="3"/>
  <c r="K7" i="3"/>
  <c r="K8" i="3"/>
  <c r="K4" i="3"/>
  <c r="K11" i="3"/>
  <c r="K5" i="3"/>
  <c r="K13" i="3"/>
  <c r="K10" i="3"/>
  <c r="F10" i="3"/>
  <c r="F11" i="3"/>
  <c r="F14" i="3"/>
  <c r="F9" i="3"/>
  <c r="F4" i="3"/>
  <c r="F13" i="3"/>
  <c r="F6" i="3"/>
  <c r="F5" i="3"/>
  <c r="F3" i="3"/>
  <c r="F8" i="3"/>
  <c r="F7" i="3"/>
  <c r="F12" i="3"/>
  <c r="BJ5" i="3" l="1"/>
  <c r="BJ4" i="3"/>
  <c r="AE3" i="1" l="1"/>
  <c r="AO3" i="1" l="1"/>
  <c r="AO9" i="1" l="1"/>
  <c r="AJ12" i="1"/>
  <c r="AT11" i="1"/>
  <c r="Z9" i="1"/>
  <c r="Z3" i="1"/>
  <c r="P8" i="1"/>
  <c r="F11" i="1"/>
  <c r="U8" i="1"/>
  <c r="U9" i="1"/>
  <c r="U11" i="1"/>
  <c r="K10" i="1"/>
  <c r="K3" i="1"/>
  <c r="K14" i="1"/>
  <c r="K5" i="1"/>
  <c r="K4" i="1"/>
  <c r="AU4" i="1" l="1"/>
  <c r="BY13" i="5" l="1"/>
  <c r="AU5" i="1" l="1"/>
  <c r="AU6" i="1"/>
  <c r="AU7" i="1"/>
  <c r="AU8" i="1"/>
  <c r="AU9" i="1"/>
  <c r="AU10" i="1"/>
  <c r="AU11" i="1"/>
  <c r="AU12" i="1"/>
  <c r="AU13" i="1"/>
  <c r="AU14" i="1"/>
  <c r="AU3" i="1"/>
  <c r="G3" i="2" l="1"/>
  <c r="AF5" i="6"/>
  <c r="G4" i="2" s="1"/>
  <c r="AF6" i="6"/>
  <c r="G5" i="2" s="1"/>
  <c r="AF7" i="6"/>
  <c r="G6" i="2" s="1"/>
  <c r="AF8" i="6"/>
  <c r="G7" i="2" s="1"/>
  <c r="AF9" i="6"/>
  <c r="G8" i="2" s="1"/>
  <c r="AF10" i="6"/>
  <c r="G9" i="2" s="1"/>
  <c r="AF11" i="6"/>
  <c r="G10" i="2" s="1"/>
  <c r="AF12" i="6"/>
  <c r="G11" i="2" s="1"/>
  <c r="AF13" i="6"/>
  <c r="G12" i="2" s="1"/>
  <c r="AF14" i="6"/>
  <c r="G13" i="2" s="1"/>
  <c r="AF3" i="6"/>
  <c r="G2" i="2" s="1"/>
  <c r="F3" i="2"/>
  <c r="BT5" i="7"/>
  <c r="F4" i="2" s="1"/>
  <c r="BT6" i="7"/>
  <c r="F5" i="2" s="1"/>
  <c r="BT7" i="7"/>
  <c r="F6" i="2" s="1"/>
  <c r="BT8" i="7"/>
  <c r="F7" i="2" s="1"/>
  <c r="BT9" i="7"/>
  <c r="F8" i="2" s="1"/>
  <c r="BT10" i="7"/>
  <c r="F9" i="2" s="1"/>
  <c r="BT11" i="7"/>
  <c r="F10" i="2" s="1"/>
  <c r="BT12" i="7"/>
  <c r="F11" i="2" s="1"/>
  <c r="BT13" i="7"/>
  <c r="F12" i="2" s="1"/>
  <c r="BT14" i="7"/>
  <c r="F13" i="2" s="1"/>
  <c r="BT3" i="7"/>
  <c r="F2" i="2" s="1"/>
  <c r="B30" i="2" l="1"/>
  <c r="E3" i="2" l="1"/>
  <c r="BY5" i="5"/>
  <c r="E4" i="2" s="1"/>
  <c r="BY6" i="5"/>
  <c r="E5" i="2" s="1"/>
  <c r="BY7" i="5"/>
  <c r="E6" i="2" s="1"/>
  <c r="BY8" i="5"/>
  <c r="E7" i="2" s="1"/>
  <c r="BY9" i="5"/>
  <c r="E8" i="2" s="1"/>
  <c r="BY10" i="5"/>
  <c r="E9" i="2" s="1"/>
  <c r="BY11" i="5"/>
  <c r="E10" i="2" s="1"/>
  <c r="BY12" i="5"/>
  <c r="E11" i="2" s="1"/>
  <c r="E12" i="2"/>
  <c r="BY14" i="5"/>
  <c r="E13" i="2" s="1"/>
  <c r="BY3" i="5"/>
  <c r="E2" i="2" s="1"/>
  <c r="B31" i="2" l="1"/>
  <c r="B29" i="2" l="1"/>
  <c r="BJ6" i="3" l="1"/>
  <c r="BJ7" i="3"/>
  <c r="BJ8" i="3"/>
  <c r="BJ9" i="3"/>
  <c r="BJ10" i="3"/>
  <c r="C9" i="2" s="1"/>
  <c r="BJ11" i="3"/>
  <c r="BJ12" i="3"/>
  <c r="C11" i="2" s="1"/>
  <c r="BJ13" i="3"/>
  <c r="C12" i="2" s="1"/>
  <c r="BJ14" i="3"/>
  <c r="C13" i="2" s="1"/>
  <c r="BJ3" i="3"/>
  <c r="C2" i="2" l="1"/>
  <c r="C10" i="2"/>
  <c r="C8" i="2"/>
  <c r="C6" i="2"/>
  <c r="C4" i="2"/>
  <c r="C7" i="2"/>
  <c r="C5" i="2"/>
  <c r="C3" i="2"/>
  <c r="B7" i="2"/>
  <c r="I7" i="2" l="1"/>
  <c r="K7" i="2" s="1"/>
  <c r="B3" i="2"/>
  <c r="B4" i="2"/>
  <c r="B5" i="2"/>
  <c r="B6" i="2"/>
  <c r="B8" i="2"/>
  <c r="B9" i="2"/>
  <c r="B10" i="2"/>
  <c r="B11" i="2"/>
  <c r="B12" i="2"/>
  <c r="B13" i="2"/>
  <c r="B2" i="2"/>
  <c r="I8" i="2" l="1"/>
  <c r="K8" i="2" s="1"/>
  <c r="I3" i="2"/>
  <c r="K3" i="2" s="1"/>
  <c r="I2" i="2"/>
  <c r="K2" i="2" s="1"/>
  <c r="I13" i="2"/>
  <c r="K13" i="2" s="1"/>
  <c r="I11" i="2"/>
  <c r="K11" i="2" s="1"/>
  <c r="I9" i="2"/>
  <c r="K9" i="2" s="1"/>
  <c r="I5" i="2"/>
  <c r="K5" i="2" s="1"/>
  <c r="I4" i="2"/>
  <c r="K4" i="2" s="1"/>
  <c r="I12" i="2"/>
  <c r="K12" i="2" s="1"/>
  <c r="I10" i="2"/>
  <c r="K10" i="2" s="1"/>
  <c r="I6" i="2"/>
  <c r="K6" i="2" s="1"/>
</calcChain>
</file>

<file path=xl/sharedStrings.xml><?xml version="1.0" encoding="utf-8"?>
<sst xmlns="http://schemas.openxmlformats.org/spreadsheetml/2006/main" count="577" uniqueCount="115">
  <si>
    <t>Team</t>
  </si>
  <si>
    <t>Team Name</t>
  </si>
  <si>
    <t>Tier</t>
  </si>
  <si>
    <t>First</t>
  </si>
  <si>
    <t>Second</t>
  </si>
  <si>
    <t>Third</t>
  </si>
  <si>
    <t>Week 1</t>
  </si>
  <si>
    <t>Week 2</t>
  </si>
  <si>
    <t>Week 3</t>
  </si>
  <si>
    <t>Week 4</t>
  </si>
  <si>
    <t>Week 5</t>
  </si>
  <si>
    <t>Week 6</t>
  </si>
  <si>
    <t>Elgin Clock</t>
  </si>
  <si>
    <t>Championship</t>
  </si>
  <si>
    <t>191 X-Cats (Koko Ed)</t>
  </si>
  <si>
    <t>Falcon (EricH)</t>
  </si>
  <si>
    <t>Awesome (Duke461, O'sancheski)</t>
  </si>
  <si>
    <t>FTG (Akash, Chris, XaulZan)</t>
  </si>
  <si>
    <t>ProgramLuke</t>
  </si>
  <si>
    <t>Dodar</t>
  </si>
  <si>
    <t>B.O.T (Cody Burd)</t>
  </si>
  <si>
    <t>Nemesis (Dr. Theta)</t>
  </si>
  <si>
    <t>Shoelace (Basel A, Nikeairmancurry)</t>
  </si>
  <si>
    <t>Untouchables (Tyler Olds, EricLeiferman)</t>
  </si>
  <si>
    <t>CircuitRunners (ghostmachine360, Wing, james7132)</t>
  </si>
  <si>
    <t>1676 (Hallry)</t>
  </si>
  <si>
    <t>Kansas City</t>
  </si>
  <si>
    <t>Score</t>
  </si>
  <si>
    <t>Granite State</t>
  </si>
  <si>
    <t>Smoky Mountain</t>
  </si>
  <si>
    <t>Alamo</t>
  </si>
  <si>
    <t>San Diego</t>
  </si>
  <si>
    <t>Israel</t>
  </si>
  <si>
    <t>Kettering District</t>
  </si>
  <si>
    <t>Total Score</t>
  </si>
  <si>
    <t>CircuitRunners (ghostmachine360, Wing,iPenguin)</t>
  </si>
  <si>
    <t>Toronto East</t>
  </si>
  <si>
    <t>Orlando</t>
  </si>
  <si>
    <t>WPI</t>
  </si>
  <si>
    <t>Chesapeake</t>
  </si>
  <si>
    <t>Lake Superior</t>
  </si>
  <si>
    <t>Finger Lakes</t>
  </si>
  <si>
    <t>Oregon</t>
  </si>
  <si>
    <t>Pittsburgh</t>
  </si>
  <si>
    <t>Waterford</t>
  </si>
  <si>
    <t>Chestnut Hill</t>
  </si>
  <si>
    <t>Rutgers</t>
  </si>
  <si>
    <t>Northville</t>
  </si>
  <si>
    <t>Hatboro-Horsham District</t>
  </si>
  <si>
    <t>Bayou</t>
  </si>
  <si>
    <t>Boilermaker</t>
  </si>
  <si>
    <t>Montreal</t>
  </si>
  <si>
    <t>Sacramento</t>
  </si>
  <si>
    <t>Los Angeles</t>
  </si>
  <si>
    <t>Peachtree</t>
  </si>
  <si>
    <t>Utah</t>
  </si>
  <si>
    <t>New York City</t>
  </si>
  <si>
    <t>West Michigan</t>
  </si>
  <si>
    <t>Detroit</t>
  </si>
  <si>
    <t>Total</t>
  </si>
  <si>
    <t>Traverse City</t>
  </si>
  <si>
    <t>Arizona</t>
  </si>
  <si>
    <t>Waterloo</t>
  </si>
  <si>
    <t>Colorado</t>
  </si>
  <si>
    <t>Hawaii</t>
  </si>
  <si>
    <t>Midwest</t>
  </si>
  <si>
    <t>Boston</t>
  </si>
  <si>
    <t>St. Louis</t>
  </si>
  <si>
    <t>Palmetto</t>
  </si>
  <si>
    <t>Olympic</t>
  </si>
  <si>
    <t>Cascade</t>
  </si>
  <si>
    <t>Wisconsin</t>
  </si>
  <si>
    <t>Niles</t>
  </si>
  <si>
    <t>Lenape</t>
  </si>
  <si>
    <t>Central Valley</t>
  </si>
  <si>
    <t>Spokane</t>
  </si>
  <si>
    <t>Las Vegas</t>
  </si>
  <si>
    <t>North Carolina</t>
  </si>
  <si>
    <t>Queen City</t>
  </si>
  <si>
    <t>Lone Star</t>
  </si>
  <si>
    <t>North Star</t>
  </si>
  <si>
    <t>10K Lakes</t>
  </si>
  <si>
    <t>ProgramLuke (ProgramLuke)</t>
  </si>
  <si>
    <t>Dodar (dodar)</t>
  </si>
  <si>
    <t>Toronto West</t>
  </si>
  <si>
    <t>Silicon Valley</t>
  </si>
  <si>
    <t>Connecticut</t>
  </si>
  <si>
    <t>South Florida</t>
  </si>
  <si>
    <t>Long Island</t>
  </si>
  <si>
    <t>Oklahoma</t>
  </si>
  <si>
    <t>Dallas East</t>
  </si>
  <si>
    <t>Dallas West</t>
  </si>
  <si>
    <t>Livonia</t>
  </si>
  <si>
    <t>Troy</t>
  </si>
  <si>
    <t>Mt. Olive</t>
  </si>
  <si>
    <t>Flippin' the Greatest (Akash, Chris, XaulZan, JackS)</t>
  </si>
  <si>
    <t>Initial size drop/warning</t>
  </si>
  <si>
    <t>Initial size drop only</t>
  </si>
  <si>
    <t>Warning only</t>
  </si>
  <si>
    <t>Grand Total (for fun)</t>
  </si>
  <si>
    <t>Gull Lake District</t>
  </si>
  <si>
    <t>MSC</t>
  </si>
  <si>
    <t>MARCh</t>
  </si>
  <si>
    <t>4146 4183</t>
  </si>
  <si>
    <t>Week 7</t>
  </si>
  <si>
    <t>Virginia*</t>
  </si>
  <si>
    <t>* Missing 2nd Dean's List winner--have 2363</t>
  </si>
  <si>
    <t>Washington, DC*</t>
  </si>
  <si>
    <t>*No Dean's List teams</t>
  </si>
  <si>
    <t>Buckeye</t>
  </si>
  <si>
    <t>Archimedes</t>
  </si>
  <si>
    <t>Curie</t>
  </si>
  <si>
    <t>Galileo</t>
  </si>
  <si>
    <t>Newton</t>
  </si>
  <si>
    <t>Fourth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</si>
</sst>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ill="1"/>
    <xf numFmtId="0" fontId="0" fillId="0" borderId="0" xfId="0" applyAlignment="1"/>
    <xf numFmtId="9" fontId="0" fillId="0" borderId="0" xfId="1" applyFont="1"/>
    <xf numFmtId="0" fontId="0" fillId="0" borderId="0" xfId="0" applyFont="1" applyFill="1"/>
    <xf numFmtId="0" fontId="1" fillId="0" borderId="0" xfId="0" applyFont="1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Fill="1" applyBorder="1"/>
    <xf numFmtId="0" fontId="0" fillId="0" borderId="1" xfId="0" applyFill="1" applyBorder="1"/>
    <xf numFmtId="0" fontId="0" fillId="0" borderId="2" xfId="0" applyFill="1" applyBorder="1"/>
    <xf numFmtId="0" fontId="0" fillId="0" borderId="3" xfId="0" applyFill="1" applyBorder="1"/>
    <xf numFmtId="0" fontId="3" fillId="2" borderId="0" xfId="0" applyFont="1" applyFill="1"/>
    <xf numFmtId="0" fontId="0" fillId="0" borderId="0" xfId="0" quotePrefix="1"/>
    <xf numFmtId="0" fontId="0" fillId="0" borderId="0" xfId="0" applyBorder="1"/>
    <xf numFmtId="0" fontId="0" fillId="0" borderId="4" xfId="0" applyBorder="1"/>
    <xf numFmtId="0" fontId="0" fillId="0" borderId="4" xfId="0" applyFill="1" applyBorder="1"/>
    <xf numFmtId="0" fontId="1" fillId="0" borderId="0" xfId="0" applyFont="1" applyFill="1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zoomScaleNormal="100" workbookViewId="0">
      <selection activeCell="G18" sqref="G18"/>
    </sheetView>
  </sheetViews>
  <sheetFormatPr defaultRowHeight="15" x14ac:dyDescent="0.25"/>
  <cols>
    <col min="1" max="1" width="35.85546875" customWidth="1"/>
    <col min="9" max="9" width="10" customWidth="1"/>
    <col min="10" max="10" width="14.140625" customWidth="1"/>
  </cols>
  <sheetData>
    <row r="1" spans="1:11" x14ac:dyDescent="0.25">
      <c r="A1" s="1" t="s">
        <v>0</v>
      </c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104</v>
      </c>
      <c r="I1" t="s">
        <v>12</v>
      </c>
      <c r="J1" t="s">
        <v>13</v>
      </c>
      <c r="K1" t="s">
        <v>99</v>
      </c>
    </row>
    <row r="2" spans="1:11" x14ac:dyDescent="0.25">
      <c r="A2" s="1" t="s">
        <v>14</v>
      </c>
      <c r="B2">
        <f>'Week 1'!AU3</f>
        <v>746</v>
      </c>
      <c r="C2">
        <f>'Week 2'!BJ3</f>
        <v>1155</v>
      </c>
      <c r="D2">
        <f>'Week 3'!BE3</f>
        <v>1028</v>
      </c>
      <c r="E2">
        <f>'Week 4'!BY3</f>
        <v>1632</v>
      </c>
      <c r="F2">
        <f>'Week 5'!BT3</f>
        <v>1335</v>
      </c>
      <c r="G2">
        <f>'Week 6'!AF3</f>
        <v>566</v>
      </c>
      <c r="H2">
        <f>'Regional Championships'!J3</f>
        <v>287</v>
      </c>
      <c r="I2">
        <f>SUM(B2:H2)</f>
        <v>6749</v>
      </c>
      <c r="J2">
        <f>'World Championships'!V3</f>
        <v>544</v>
      </c>
      <c r="K2">
        <f>I2+J2</f>
        <v>7293</v>
      </c>
    </row>
    <row r="3" spans="1:11" x14ac:dyDescent="0.25">
      <c r="A3" s="1" t="s">
        <v>15</v>
      </c>
      <c r="B3">
        <f>'Week 1'!AU4</f>
        <v>1085</v>
      </c>
      <c r="C3">
        <f>'Week 2'!BJ4</f>
        <v>1353</v>
      </c>
      <c r="D3">
        <f>'Week 3'!BE4</f>
        <v>1125</v>
      </c>
      <c r="E3">
        <f>'Week 4'!BY4</f>
        <v>1851</v>
      </c>
      <c r="F3">
        <f>'Week 5'!BT4</f>
        <v>1553</v>
      </c>
      <c r="G3">
        <f>'Week 6'!AF4</f>
        <v>715</v>
      </c>
      <c r="H3">
        <f>'Regional Championships'!J4</f>
        <v>310</v>
      </c>
      <c r="I3">
        <f>SUM(B3:H3)</f>
        <v>7992</v>
      </c>
      <c r="J3">
        <f>'World Championships'!V4</f>
        <v>625</v>
      </c>
      <c r="K3">
        <f>I3+J3</f>
        <v>8617</v>
      </c>
    </row>
    <row r="4" spans="1:11" x14ac:dyDescent="0.25">
      <c r="A4" s="5" t="s">
        <v>16</v>
      </c>
      <c r="B4">
        <f>'Week 1'!AU5</f>
        <v>683</v>
      </c>
      <c r="C4">
        <f>'Week 2'!BJ5</f>
        <v>1408</v>
      </c>
      <c r="D4">
        <f>'Week 3'!BE5</f>
        <v>1166</v>
      </c>
      <c r="E4">
        <f>'Week 4'!BY5</f>
        <v>1629</v>
      </c>
      <c r="F4">
        <f>'Week 5'!BT5</f>
        <v>1595</v>
      </c>
      <c r="G4">
        <f>'Week 6'!AF5</f>
        <v>608</v>
      </c>
      <c r="H4">
        <f>'Regional Championships'!J5</f>
        <v>230</v>
      </c>
      <c r="I4">
        <f>SUM(B4:H4)</f>
        <v>7319</v>
      </c>
      <c r="J4">
        <f>'World Championships'!V5</f>
        <v>476</v>
      </c>
      <c r="K4">
        <f>I4+J4</f>
        <v>7795</v>
      </c>
    </row>
    <row r="5" spans="1:11" x14ac:dyDescent="0.25">
      <c r="A5" s="5" t="s">
        <v>95</v>
      </c>
      <c r="B5">
        <f>'Week 1'!AU6</f>
        <v>1097</v>
      </c>
      <c r="C5">
        <f>'Week 2'!BJ6</f>
        <v>1363</v>
      </c>
      <c r="D5">
        <f>'Week 3'!BE6</f>
        <v>1362</v>
      </c>
      <c r="E5">
        <f>'Week 4'!BY6</f>
        <v>1659</v>
      </c>
      <c r="F5">
        <f>'Week 5'!BT6</f>
        <v>1673</v>
      </c>
      <c r="G5">
        <f>'Week 6'!AF6</f>
        <v>709</v>
      </c>
      <c r="H5">
        <f>'Regional Championships'!J6</f>
        <v>423</v>
      </c>
      <c r="I5">
        <f>SUM(B5:H5)</f>
        <v>8286</v>
      </c>
      <c r="J5">
        <f>'World Championships'!V6</f>
        <v>766</v>
      </c>
      <c r="K5">
        <f>I5+J5</f>
        <v>9052</v>
      </c>
    </row>
    <row r="6" spans="1:11" x14ac:dyDescent="0.25">
      <c r="A6" s="1" t="s">
        <v>82</v>
      </c>
      <c r="B6">
        <f>'Week 1'!AU7</f>
        <v>941</v>
      </c>
      <c r="C6">
        <f>'Week 2'!BJ7</f>
        <v>1112</v>
      </c>
      <c r="D6">
        <f>'Week 3'!BE7</f>
        <v>1181</v>
      </c>
      <c r="E6">
        <f>'Week 4'!BY7</f>
        <v>1856</v>
      </c>
      <c r="F6">
        <f>'Week 5'!BT7</f>
        <v>1531</v>
      </c>
      <c r="G6">
        <f>'Week 6'!AF7</f>
        <v>563</v>
      </c>
      <c r="H6">
        <f>'Regional Championships'!J7</f>
        <v>289</v>
      </c>
      <c r="I6">
        <f>SUM(B6:H6)</f>
        <v>7473</v>
      </c>
      <c r="J6">
        <f>'World Championships'!V7</f>
        <v>524</v>
      </c>
      <c r="K6">
        <f>I6+J6</f>
        <v>7997</v>
      </c>
    </row>
    <row r="7" spans="1:11" x14ac:dyDescent="0.25">
      <c r="A7" s="1" t="s">
        <v>83</v>
      </c>
      <c r="B7">
        <f>'Week 1'!AU8</f>
        <v>827</v>
      </c>
      <c r="C7">
        <f>'Week 2'!BJ8</f>
        <v>1495</v>
      </c>
      <c r="D7">
        <f>'Week 3'!BE8</f>
        <v>913</v>
      </c>
      <c r="E7">
        <f>'Week 4'!BY8</f>
        <v>1855</v>
      </c>
      <c r="F7">
        <f>'Week 5'!BT8</f>
        <v>1330</v>
      </c>
      <c r="G7">
        <f>'Week 6'!AF8</f>
        <v>527</v>
      </c>
      <c r="H7">
        <f>'Regional Championships'!J8</f>
        <v>315</v>
      </c>
      <c r="I7">
        <f>SUM(B7:H7)</f>
        <v>7262</v>
      </c>
      <c r="J7">
        <f>'World Championships'!V8</f>
        <v>401</v>
      </c>
      <c r="K7">
        <f>I7+J7</f>
        <v>7663</v>
      </c>
    </row>
    <row r="8" spans="1:11" x14ac:dyDescent="0.25">
      <c r="A8" s="1" t="s">
        <v>20</v>
      </c>
      <c r="B8">
        <f>'Week 1'!AU9</f>
        <v>656</v>
      </c>
      <c r="C8">
        <f>'Week 2'!BJ9</f>
        <v>1119</v>
      </c>
      <c r="D8">
        <f>'Week 3'!BE9</f>
        <v>813</v>
      </c>
      <c r="E8">
        <f>'Week 4'!BY9</f>
        <v>1359</v>
      </c>
      <c r="F8">
        <f>'Week 5'!BT9</f>
        <v>946</v>
      </c>
      <c r="G8">
        <f>'Week 6'!AF9</f>
        <v>563</v>
      </c>
      <c r="H8">
        <f>'Regional Championships'!J9</f>
        <v>268</v>
      </c>
      <c r="I8">
        <f>SUM(B8:H8)</f>
        <v>5724</v>
      </c>
      <c r="J8">
        <f>'World Championships'!V9</f>
        <v>552</v>
      </c>
      <c r="K8">
        <f>I8+J8</f>
        <v>6276</v>
      </c>
    </row>
    <row r="9" spans="1:11" x14ac:dyDescent="0.25">
      <c r="A9" s="4" t="s">
        <v>21</v>
      </c>
      <c r="B9">
        <f>'Week 1'!AU10</f>
        <v>1149</v>
      </c>
      <c r="C9">
        <f>'Week 2'!BJ10</f>
        <v>1262</v>
      </c>
      <c r="D9">
        <f>'Week 3'!BE10</f>
        <v>1257</v>
      </c>
      <c r="E9">
        <f>'Week 4'!BY10</f>
        <v>2042</v>
      </c>
      <c r="F9">
        <f>'Week 5'!BT10</f>
        <v>1566</v>
      </c>
      <c r="G9">
        <f>'Week 6'!AF10</f>
        <v>851</v>
      </c>
      <c r="H9">
        <f>'Regional Championships'!J10</f>
        <v>369</v>
      </c>
      <c r="I9">
        <f>SUM(B9:H9)</f>
        <v>8496</v>
      </c>
      <c r="J9">
        <f>'World Championships'!V10</f>
        <v>563</v>
      </c>
      <c r="K9">
        <f>I9+J9</f>
        <v>9059</v>
      </c>
    </row>
    <row r="10" spans="1:11" x14ac:dyDescent="0.25">
      <c r="A10" s="5" t="s">
        <v>22</v>
      </c>
      <c r="B10">
        <f>'Week 1'!AU11</f>
        <v>1098</v>
      </c>
      <c r="C10">
        <f>'Week 2'!BJ11</f>
        <v>1064</v>
      </c>
      <c r="D10">
        <f>'Week 3'!BE11</f>
        <v>1334</v>
      </c>
      <c r="E10">
        <f>'Week 4'!BY11</f>
        <v>1756</v>
      </c>
      <c r="F10">
        <f>'Week 5'!BT11</f>
        <v>1662</v>
      </c>
      <c r="G10">
        <f>'Week 6'!AF11</f>
        <v>682</v>
      </c>
      <c r="H10">
        <f>'Regional Championships'!J11</f>
        <v>337</v>
      </c>
      <c r="I10">
        <f>SUM(B10:H10)</f>
        <v>7933</v>
      </c>
      <c r="J10">
        <f>'World Championships'!V11</f>
        <v>540</v>
      </c>
      <c r="K10">
        <f>I10+J10</f>
        <v>8473</v>
      </c>
    </row>
    <row r="11" spans="1:11" x14ac:dyDescent="0.25">
      <c r="A11" s="1" t="s">
        <v>23</v>
      </c>
      <c r="B11">
        <f>'Week 1'!AU12</f>
        <v>766</v>
      </c>
      <c r="C11">
        <f>'Week 2'!BJ12</f>
        <v>1124</v>
      </c>
      <c r="D11">
        <f>'Week 3'!BE12</f>
        <v>1132</v>
      </c>
      <c r="E11">
        <f>'Week 4'!BY12</f>
        <v>1814</v>
      </c>
      <c r="F11">
        <f>'Week 5'!BT12</f>
        <v>1532</v>
      </c>
      <c r="G11">
        <f>'Week 6'!AF12</f>
        <v>703</v>
      </c>
      <c r="H11">
        <f>'Regional Championships'!J12</f>
        <v>294</v>
      </c>
      <c r="I11">
        <f>SUM(B11:H11)</f>
        <v>7365</v>
      </c>
      <c r="J11">
        <f>'World Championships'!V12</f>
        <v>492</v>
      </c>
      <c r="K11">
        <f>I11+J11</f>
        <v>7857</v>
      </c>
    </row>
    <row r="12" spans="1:11" x14ac:dyDescent="0.25">
      <c r="A12" s="5" t="s">
        <v>35</v>
      </c>
      <c r="B12">
        <f>'Week 1'!AU13</f>
        <v>1026</v>
      </c>
      <c r="C12">
        <f>'Week 2'!BJ13</f>
        <v>1398</v>
      </c>
      <c r="D12">
        <f>'Week 3'!BE13</f>
        <v>1194</v>
      </c>
      <c r="E12">
        <f>'Week 4'!BY13</f>
        <v>1496</v>
      </c>
      <c r="F12">
        <f>'Week 5'!BT13</f>
        <v>1352</v>
      </c>
      <c r="G12">
        <f>'Week 6'!AF13</f>
        <v>642</v>
      </c>
      <c r="H12">
        <f>'Regional Championships'!J13</f>
        <v>231</v>
      </c>
      <c r="I12">
        <f>SUM(B12:H12)</f>
        <v>7339</v>
      </c>
      <c r="J12">
        <f>'World Championships'!V13</f>
        <v>573</v>
      </c>
      <c r="K12">
        <f>I12+J12</f>
        <v>7912</v>
      </c>
    </row>
    <row r="13" spans="1:11" x14ac:dyDescent="0.25">
      <c r="A13" s="5" t="s">
        <v>25</v>
      </c>
      <c r="B13">
        <f>'Week 1'!AU14</f>
        <v>867</v>
      </c>
      <c r="C13">
        <f>'Week 2'!BJ14</f>
        <v>1076</v>
      </c>
      <c r="D13">
        <f>'Week 3'!BE14</f>
        <v>1107</v>
      </c>
      <c r="E13">
        <f>'Week 4'!BY14</f>
        <v>2000</v>
      </c>
      <c r="F13">
        <f>'Week 5'!BT14</f>
        <v>1755</v>
      </c>
      <c r="G13">
        <f>'Week 6'!AF14</f>
        <v>778</v>
      </c>
      <c r="H13">
        <f>'Regional Championships'!J14</f>
        <v>236</v>
      </c>
      <c r="I13">
        <f>SUM(B13:H13)</f>
        <v>7819</v>
      </c>
      <c r="J13">
        <f>'World Championships'!V14</f>
        <v>398</v>
      </c>
      <c r="K13">
        <f>I13+J13</f>
        <v>8217</v>
      </c>
    </row>
    <row r="16" spans="1:11" x14ac:dyDescent="0.25">
      <c r="A16" s="1"/>
      <c r="B16" s="1"/>
      <c r="C16" s="1"/>
    </row>
    <row r="23" spans="1:3" x14ac:dyDescent="0.25">
      <c r="A23" s="4"/>
      <c r="B23" s="1"/>
      <c r="C23" s="1"/>
    </row>
    <row r="24" spans="1:3" x14ac:dyDescent="0.25">
      <c r="A24" s="5"/>
      <c r="B24" s="1"/>
      <c r="C24" s="1"/>
    </row>
    <row r="25" spans="1:3" x14ac:dyDescent="0.25">
      <c r="A25" s="1"/>
      <c r="B25" s="1"/>
      <c r="C25" s="1"/>
    </row>
    <row r="26" spans="1:3" x14ac:dyDescent="0.25">
      <c r="A26" s="5"/>
      <c r="B26" s="1"/>
      <c r="C26" s="1"/>
    </row>
    <row r="27" spans="1:3" x14ac:dyDescent="0.25">
      <c r="A27" s="5"/>
      <c r="C27" s="1"/>
    </row>
    <row r="28" spans="1:3" x14ac:dyDescent="0.25">
      <c r="C28" s="1"/>
    </row>
    <row r="29" spans="1:3" x14ac:dyDescent="0.25">
      <c r="A29" t="s">
        <v>96</v>
      </c>
      <c r="B29" s="3">
        <f>3/13</f>
        <v>0.23076923076923078</v>
      </c>
    </row>
    <row r="30" spans="1:3" x14ac:dyDescent="0.25">
      <c r="A30" t="s">
        <v>98</v>
      </c>
      <c r="B30" s="3">
        <f>2/13</f>
        <v>0.15384615384615385</v>
      </c>
    </row>
    <row r="31" spans="1:3" x14ac:dyDescent="0.25">
      <c r="A31" t="s">
        <v>97</v>
      </c>
      <c r="B31" s="3">
        <f>1/13</f>
        <v>7.6923076923076927E-2</v>
      </c>
    </row>
  </sheetData>
  <sortState ref="A2:K13">
    <sortCondition descending="1" ref="I2:I13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zoomScaleNormal="100" workbookViewId="0">
      <pane xSplit="1" topLeftCell="AE1" activePane="topRight" state="frozen"/>
      <selection pane="topRight" activeCell="A4" sqref="A4"/>
    </sheetView>
  </sheetViews>
  <sheetFormatPr defaultRowHeight="15" x14ac:dyDescent="0.25"/>
  <cols>
    <col min="1" max="1" width="20.140625" customWidth="1"/>
  </cols>
  <sheetData>
    <row r="1" spans="1:47" x14ac:dyDescent="0.25">
      <c r="B1" s="19" t="s">
        <v>26</v>
      </c>
      <c r="C1" s="19"/>
      <c r="D1" s="19"/>
      <c r="E1" s="19"/>
      <c r="F1" s="19"/>
      <c r="G1" s="19" t="s">
        <v>28</v>
      </c>
      <c r="H1" s="19"/>
      <c r="I1" s="19"/>
      <c r="J1" s="19"/>
      <c r="K1" s="19"/>
      <c r="L1" s="19" t="s">
        <v>29</v>
      </c>
      <c r="M1" s="19"/>
      <c r="N1" s="19"/>
      <c r="O1" s="19"/>
      <c r="P1" s="19"/>
      <c r="Q1" s="19" t="s">
        <v>30</v>
      </c>
      <c r="R1" s="19"/>
      <c r="S1" s="19"/>
      <c r="T1" s="19"/>
      <c r="U1" s="19"/>
      <c r="V1" s="19" t="s">
        <v>31</v>
      </c>
      <c r="W1" s="19"/>
      <c r="X1" s="19"/>
      <c r="Y1" s="19"/>
      <c r="Z1" s="19"/>
      <c r="AA1" s="19" t="s">
        <v>32</v>
      </c>
      <c r="AB1" s="19"/>
      <c r="AC1" s="19"/>
      <c r="AD1" s="19"/>
      <c r="AE1" s="19"/>
      <c r="AF1" s="19" t="s">
        <v>33</v>
      </c>
      <c r="AG1" s="19"/>
      <c r="AH1" s="19"/>
      <c r="AI1" s="19"/>
      <c r="AJ1" s="19"/>
      <c r="AK1" s="19" t="s">
        <v>48</v>
      </c>
      <c r="AL1" s="19"/>
      <c r="AM1" s="19"/>
      <c r="AN1" s="19"/>
      <c r="AO1" s="19"/>
      <c r="AP1" s="19" t="s">
        <v>100</v>
      </c>
      <c r="AQ1" s="19"/>
      <c r="AR1" s="19"/>
      <c r="AS1" s="19"/>
      <c r="AT1" s="19"/>
      <c r="AU1" t="s">
        <v>34</v>
      </c>
    </row>
    <row r="2" spans="1:4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2</v>
      </c>
      <c r="AG2" t="s">
        <v>3</v>
      </c>
      <c r="AH2" t="s">
        <v>4</v>
      </c>
      <c r="AI2" t="s">
        <v>5</v>
      </c>
      <c r="AJ2" t="s">
        <v>27</v>
      </c>
      <c r="AK2" t="s">
        <v>2</v>
      </c>
      <c r="AL2" t="s">
        <v>3</v>
      </c>
      <c r="AM2" t="s">
        <v>4</v>
      </c>
      <c r="AN2" t="s">
        <v>5</v>
      </c>
      <c r="AO2" t="s">
        <v>27</v>
      </c>
      <c r="AP2" t="s">
        <v>2</v>
      </c>
      <c r="AQ2" t="s">
        <v>3</v>
      </c>
      <c r="AR2" t="s">
        <v>4</v>
      </c>
      <c r="AS2" t="s">
        <v>5</v>
      </c>
      <c r="AT2" t="s">
        <v>27</v>
      </c>
    </row>
    <row r="3" spans="1:47" x14ac:dyDescent="0.25">
      <c r="A3" t="s">
        <v>14</v>
      </c>
      <c r="C3" s="1">
        <v>4208</v>
      </c>
      <c r="D3" s="1">
        <v>3973</v>
      </c>
      <c r="E3" s="1">
        <v>3784</v>
      </c>
      <c r="F3" s="10">
        <f>17+25+54</f>
        <v>96</v>
      </c>
      <c r="H3" s="1">
        <v>1153</v>
      </c>
      <c r="I3" s="1">
        <v>61</v>
      </c>
      <c r="J3" s="1">
        <v>3585</v>
      </c>
      <c r="K3" s="10">
        <f>10+23+4</f>
        <v>37</v>
      </c>
      <c r="M3" s="9">
        <v>4306</v>
      </c>
      <c r="N3" s="9">
        <v>4265</v>
      </c>
      <c r="O3" s="9">
        <v>4245</v>
      </c>
      <c r="P3" s="10">
        <f>27+47+10</f>
        <v>84</v>
      </c>
      <c r="R3" s="1">
        <v>2969</v>
      </c>
      <c r="S3" s="1">
        <v>3345</v>
      </c>
      <c r="T3" s="1">
        <v>3080</v>
      </c>
      <c r="U3" s="10">
        <f>10+12+8</f>
        <v>30</v>
      </c>
      <c r="W3" s="1">
        <v>4322</v>
      </c>
      <c r="X3" s="1">
        <v>4276</v>
      </c>
      <c r="Y3" s="1">
        <v>4139</v>
      </c>
      <c r="Z3" s="10">
        <f>23+23+9</f>
        <v>55</v>
      </c>
      <c r="AB3" s="1">
        <v>2213</v>
      </c>
      <c r="AC3" s="1">
        <v>4326</v>
      </c>
      <c r="AD3" s="1">
        <v>1576</v>
      </c>
      <c r="AE3" s="10">
        <f>37+13+15</f>
        <v>65</v>
      </c>
      <c r="AF3">
        <v>1</v>
      </c>
      <c r="AG3" s="1">
        <v>2337</v>
      </c>
      <c r="AH3" s="1">
        <v>1322</v>
      </c>
      <c r="AI3" s="1">
        <v>3535</v>
      </c>
      <c r="AJ3" s="10">
        <f>134+29+12</f>
        <v>175</v>
      </c>
      <c r="AK3">
        <v>1</v>
      </c>
      <c r="AL3" s="1">
        <v>2607</v>
      </c>
      <c r="AM3" s="1">
        <v>3123</v>
      </c>
      <c r="AN3" s="1">
        <v>2539</v>
      </c>
      <c r="AO3" s="10">
        <f>19+14+11</f>
        <v>44</v>
      </c>
      <c r="AP3">
        <v>2</v>
      </c>
      <c r="AQ3" s="1">
        <v>85</v>
      </c>
      <c r="AR3" s="1">
        <v>1254</v>
      </c>
      <c r="AS3" s="1">
        <v>4408</v>
      </c>
      <c r="AT3" s="10">
        <f>124+13+23</f>
        <v>160</v>
      </c>
      <c r="AU3">
        <f>SUM(AJ3,AO3,AE3,Z3,U3,P3,K3,F3,AT3)</f>
        <v>746</v>
      </c>
    </row>
    <row r="4" spans="1:47" x14ac:dyDescent="0.25">
      <c r="A4" t="s">
        <v>15</v>
      </c>
      <c r="C4" s="1">
        <v>1987</v>
      </c>
      <c r="D4" s="1">
        <v>1806</v>
      </c>
      <c r="E4" s="1">
        <v>3284</v>
      </c>
      <c r="F4" s="11">
        <f>49+24+21</f>
        <v>94</v>
      </c>
      <c r="H4" s="1">
        <v>3467</v>
      </c>
      <c r="I4" s="1">
        <v>95</v>
      </c>
      <c r="J4" s="1">
        <v>811</v>
      </c>
      <c r="K4" s="11">
        <f>43+38+29</f>
        <v>110</v>
      </c>
      <c r="M4" s="9">
        <v>1501</v>
      </c>
      <c r="N4" s="9">
        <v>3675</v>
      </c>
      <c r="O4" s="9">
        <v>1249</v>
      </c>
      <c r="P4" s="11">
        <f>30+26+5</f>
        <v>61</v>
      </c>
      <c r="R4" s="1">
        <v>704</v>
      </c>
      <c r="S4" s="1">
        <v>3335</v>
      </c>
      <c r="T4" s="1">
        <v>2080</v>
      </c>
      <c r="U4" s="11">
        <f>18+8+10</f>
        <v>36</v>
      </c>
      <c r="W4" s="1">
        <v>2543</v>
      </c>
      <c r="X4" s="1">
        <v>812</v>
      </c>
      <c r="Y4" s="1">
        <v>3008</v>
      </c>
      <c r="Z4" s="11">
        <f>20+19+28</f>
        <v>67</v>
      </c>
      <c r="AB4" s="1">
        <v>3075</v>
      </c>
      <c r="AC4" s="1">
        <v>3351</v>
      </c>
      <c r="AD4" s="1">
        <v>3316</v>
      </c>
      <c r="AE4" s="11">
        <f>7+52+37</f>
        <v>96</v>
      </c>
      <c r="AF4">
        <v>2</v>
      </c>
      <c r="AG4" s="1">
        <v>33</v>
      </c>
      <c r="AH4" s="1">
        <v>2604</v>
      </c>
      <c r="AI4" s="1">
        <v>4294</v>
      </c>
      <c r="AJ4" s="11">
        <f>81+20+72</f>
        <v>173</v>
      </c>
      <c r="AK4">
        <v>1</v>
      </c>
      <c r="AL4" s="1">
        <v>1218</v>
      </c>
      <c r="AM4" s="1">
        <v>1923</v>
      </c>
      <c r="AN4" s="1">
        <v>293</v>
      </c>
      <c r="AO4" s="11">
        <f>140+68+20</f>
        <v>228</v>
      </c>
      <c r="AP4">
        <v>2</v>
      </c>
      <c r="AQ4" s="1">
        <v>1918</v>
      </c>
      <c r="AR4" s="1">
        <v>3452</v>
      </c>
      <c r="AS4" s="1">
        <v>123</v>
      </c>
      <c r="AT4" s="11">
        <f>101+31+88</f>
        <v>220</v>
      </c>
      <c r="AU4">
        <f>SUM(AJ4,AO4,AE4,Z4,U4,P4,K4,F4,AT4)</f>
        <v>1085</v>
      </c>
    </row>
    <row r="5" spans="1:47" x14ac:dyDescent="0.25">
      <c r="A5" t="s">
        <v>16</v>
      </c>
      <c r="C5" s="1">
        <v>931</v>
      </c>
      <c r="D5" s="1">
        <v>1094</v>
      </c>
      <c r="E5" s="1">
        <v>2972</v>
      </c>
      <c r="F5" s="11">
        <f>14+28+8</f>
        <v>50</v>
      </c>
      <c r="H5" s="1">
        <v>1073</v>
      </c>
      <c r="I5" s="1">
        <v>716</v>
      </c>
      <c r="J5" s="1">
        <v>238</v>
      </c>
      <c r="K5" s="11">
        <f>11+38+8</f>
        <v>57</v>
      </c>
      <c r="M5" s="9">
        <v>2751</v>
      </c>
      <c r="N5" s="9">
        <v>2856</v>
      </c>
      <c r="O5" s="9">
        <v>3140</v>
      </c>
      <c r="P5" s="11">
        <f>32+27+10</f>
        <v>69</v>
      </c>
      <c r="R5" s="1">
        <v>2848</v>
      </c>
      <c r="S5" s="1">
        <v>2789</v>
      </c>
      <c r="T5" s="1">
        <v>2745</v>
      </c>
      <c r="U5" s="11">
        <f>13+20+2</f>
        <v>35</v>
      </c>
      <c r="W5" s="1">
        <v>1160</v>
      </c>
      <c r="X5" s="1">
        <v>3255</v>
      </c>
      <c r="Y5" s="1">
        <v>2029</v>
      </c>
      <c r="Z5" s="11">
        <f>12+57+10</f>
        <v>79</v>
      </c>
      <c r="AB5" s="1">
        <v>1690</v>
      </c>
      <c r="AC5" s="1">
        <v>2214</v>
      </c>
      <c r="AD5" s="1">
        <v>3339</v>
      </c>
      <c r="AE5" s="11">
        <f>89+12+32</f>
        <v>133</v>
      </c>
      <c r="AF5">
        <v>2</v>
      </c>
      <c r="AG5" s="1">
        <v>70</v>
      </c>
      <c r="AH5" s="1">
        <v>2137</v>
      </c>
      <c r="AI5" s="1">
        <v>302</v>
      </c>
      <c r="AJ5" s="11">
        <f>27+23+22</f>
        <v>72</v>
      </c>
      <c r="AK5">
        <v>1</v>
      </c>
      <c r="AL5" s="1">
        <v>1143</v>
      </c>
      <c r="AM5" s="1">
        <v>1391</v>
      </c>
      <c r="AN5" s="1">
        <v>2590</v>
      </c>
      <c r="AO5" s="11">
        <f>21+13+44</f>
        <v>78</v>
      </c>
      <c r="AP5">
        <v>2</v>
      </c>
      <c r="AQ5" s="1">
        <v>2000</v>
      </c>
      <c r="AR5" s="1">
        <v>2771</v>
      </c>
      <c r="AS5" s="1">
        <v>2767</v>
      </c>
      <c r="AT5" s="11">
        <f>37+12+61</f>
        <v>110</v>
      </c>
      <c r="AU5">
        <f t="shared" ref="AU5:AU14" si="0">SUM(AJ5,AO5,AE5,Z5,U5,P5,K5,F5,AT5)</f>
        <v>683</v>
      </c>
    </row>
    <row r="6" spans="1:47" x14ac:dyDescent="0.25">
      <c r="A6" t="s">
        <v>17</v>
      </c>
      <c r="C6" s="1">
        <v>1986</v>
      </c>
      <c r="D6" s="1">
        <v>2949</v>
      </c>
      <c r="E6" s="1">
        <v>1982</v>
      </c>
      <c r="F6" s="11">
        <f>133+74+42</f>
        <v>249</v>
      </c>
      <c r="H6" s="1">
        <v>1519</v>
      </c>
      <c r="I6" s="1">
        <v>501</v>
      </c>
      <c r="J6" s="1">
        <v>157</v>
      </c>
      <c r="K6" s="11">
        <f>56+30+11</f>
        <v>97</v>
      </c>
      <c r="M6" s="9">
        <v>1319</v>
      </c>
      <c r="N6" s="9">
        <v>2386</v>
      </c>
      <c r="O6" s="9">
        <v>3961</v>
      </c>
      <c r="P6" s="11">
        <f>49+57+10</f>
        <v>116</v>
      </c>
      <c r="R6" s="1">
        <v>118</v>
      </c>
      <c r="S6" s="1">
        <v>3943</v>
      </c>
      <c r="T6" s="1">
        <v>4162</v>
      </c>
      <c r="U6" s="11">
        <f>63+6+6</f>
        <v>75</v>
      </c>
      <c r="W6" s="1">
        <v>2485</v>
      </c>
      <c r="X6" s="1">
        <v>3704</v>
      </c>
      <c r="Y6" s="1">
        <v>3128</v>
      </c>
      <c r="Z6" s="11">
        <f>39+12+11</f>
        <v>62</v>
      </c>
      <c r="AB6" s="1">
        <v>2630</v>
      </c>
      <c r="AC6" s="1">
        <v>4319</v>
      </c>
      <c r="AD6" s="1">
        <v>3065</v>
      </c>
      <c r="AE6" s="11">
        <f>44+24+4</f>
        <v>72</v>
      </c>
      <c r="AF6">
        <v>1</v>
      </c>
      <c r="AG6" s="1">
        <v>33</v>
      </c>
      <c r="AH6" s="1">
        <v>703</v>
      </c>
      <c r="AI6" s="1">
        <v>1504</v>
      </c>
      <c r="AJ6" s="11">
        <f>81+16+48</f>
        <v>145</v>
      </c>
      <c r="AK6">
        <v>2</v>
      </c>
      <c r="AL6" s="1">
        <v>1218</v>
      </c>
      <c r="AM6" s="1">
        <v>2607</v>
      </c>
      <c r="AN6" s="1">
        <v>834</v>
      </c>
      <c r="AO6" s="11">
        <f>140+19+40</f>
        <v>199</v>
      </c>
      <c r="AP6">
        <v>2</v>
      </c>
      <c r="AQ6" s="1">
        <v>2959</v>
      </c>
      <c r="AR6" s="1">
        <v>3656</v>
      </c>
      <c r="AS6" s="1">
        <v>4325</v>
      </c>
      <c r="AT6" s="11">
        <f>42+33+7</f>
        <v>82</v>
      </c>
      <c r="AU6">
        <f t="shared" si="0"/>
        <v>1097</v>
      </c>
    </row>
    <row r="7" spans="1:47" x14ac:dyDescent="0.25">
      <c r="A7" t="s">
        <v>18</v>
      </c>
      <c r="C7" s="1">
        <v>525</v>
      </c>
      <c r="D7" s="1">
        <v>1777</v>
      </c>
      <c r="E7" s="1">
        <v>1448</v>
      </c>
      <c r="F7" s="11">
        <f>34+14+10</f>
        <v>58</v>
      </c>
      <c r="H7" s="1">
        <v>1058</v>
      </c>
      <c r="I7" s="1">
        <v>166</v>
      </c>
      <c r="J7" s="1">
        <v>3597</v>
      </c>
      <c r="K7" s="11">
        <f>54+8+28</f>
        <v>90</v>
      </c>
      <c r="M7" s="9">
        <v>2200</v>
      </c>
      <c r="N7" s="9">
        <v>547</v>
      </c>
      <c r="O7" s="9">
        <v>3821</v>
      </c>
      <c r="P7" s="11">
        <f>17+10+8</f>
        <v>35</v>
      </c>
      <c r="R7" s="1">
        <v>1477</v>
      </c>
      <c r="S7" s="1">
        <v>922</v>
      </c>
      <c r="T7" s="1">
        <v>653</v>
      </c>
      <c r="U7" s="11">
        <f>85+42+10</f>
        <v>137</v>
      </c>
      <c r="W7" s="1">
        <v>1572</v>
      </c>
      <c r="X7" s="1">
        <v>1266</v>
      </c>
      <c r="Y7" s="1">
        <v>1372</v>
      </c>
      <c r="Z7" s="11">
        <f>22+35+14</f>
        <v>71</v>
      </c>
      <c r="AB7" s="1">
        <v>3388</v>
      </c>
      <c r="AC7" s="1">
        <v>1731</v>
      </c>
      <c r="AD7" s="1">
        <v>1954</v>
      </c>
      <c r="AE7" s="11">
        <f>12+59+21</f>
        <v>92</v>
      </c>
      <c r="AF7">
        <v>2</v>
      </c>
      <c r="AG7" s="1">
        <v>51</v>
      </c>
      <c r="AH7" s="1">
        <v>3322</v>
      </c>
      <c r="AI7" s="1">
        <v>494</v>
      </c>
      <c r="AJ7" s="11">
        <f>69+78+39</f>
        <v>186</v>
      </c>
      <c r="AK7">
        <v>2</v>
      </c>
      <c r="AL7" s="1">
        <v>1923</v>
      </c>
      <c r="AM7" s="1">
        <v>272</v>
      </c>
      <c r="AN7" s="1">
        <v>486</v>
      </c>
      <c r="AO7" s="11">
        <f>68+27+49</f>
        <v>144</v>
      </c>
      <c r="AP7">
        <v>1</v>
      </c>
      <c r="AQ7" s="1">
        <v>4362</v>
      </c>
      <c r="AR7" s="1">
        <v>4409</v>
      </c>
      <c r="AS7" s="1">
        <v>2767</v>
      </c>
      <c r="AT7" s="11">
        <f>45+22+61</f>
        <v>128</v>
      </c>
      <c r="AU7">
        <f t="shared" si="0"/>
        <v>941</v>
      </c>
    </row>
    <row r="8" spans="1:47" x14ac:dyDescent="0.25">
      <c r="A8" t="s">
        <v>19</v>
      </c>
      <c r="C8" s="1">
        <v>1737</v>
      </c>
      <c r="D8" s="1">
        <v>1775</v>
      </c>
      <c r="E8" s="1">
        <v>2164</v>
      </c>
      <c r="F8" s="11">
        <f>10+25+8</f>
        <v>43</v>
      </c>
      <c r="H8" s="1">
        <v>131</v>
      </c>
      <c r="I8" s="1">
        <v>1922</v>
      </c>
      <c r="J8" s="1">
        <v>1493</v>
      </c>
      <c r="K8" s="11">
        <f>84+7+16</f>
        <v>107</v>
      </c>
      <c r="M8" s="9">
        <v>1038</v>
      </c>
      <c r="N8" s="9">
        <v>462</v>
      </c>
      <c r="O8" s="9">
        <v>4025</v>
      </c>
      <c r="P8" s="11">
        <f>57+14+6</f>
        <v>77</v>
      </c>
      <c r="R8" s="1">
        <v>499</v>
      </c>
      <c r="S8" s="1">
        <v>2283</v>
      </c>
      <c r="T8" s="1">
        <v>3035</v>
      </c>
      <c r="U8" s="11">
        <f>3+12+10</f>
        <v>25</v>
      </c>
      <c r="W8" s="1">
        <v>1726</v>
      </c>
      <c r="X8" s="1">
        <v>4160</v>
      </c>
      <c r="Y8" s="1">
        <v>3491</v>
      </c>
      <c r="Z8" s="11">
        <f>40+7+8</f>
        <v>55</v>
      </c>
      <c r="AB8" s="1">
        <v>1574</v>
      </c>
      <c r="AC8" s="1">
        <v>1952</v>
      </c>
      <c r="AD8" s="1">
        <v>2672</v>
      </c>
      <c r="AE8" s="11">
        <f>115+24+12</f>
        <v>151</v>
      </c>
      <c r="AF8">
        <v>2</v>
      </c>
      <c r="AG8" s="13">
        <v>1322</v>
      </c>
      <c r="AH8" s="1">
        <v>3536</v>
      </c>
      <c r="AI8" s="1">
        <v>1504</v>
      </c>
      <c r="AJ8" s="11">
        <f>29+28+48</f>
        <v>105</v>
      </c>
      <c r="AK8">
        <v>1</v>
      </c>
      <c r="AL8" s="1">
        <v>341</v>
      </c>
      <c r="AM8" s="1">
        <v>1712</v>
      </c>
      <c r="AN8" s="1">
        <v>709</v>
      </c>
      <c r="AO8" s="11">
        <f>113+25+31</f>
        <v>169</v>
      </c>
      <c r="AP8">
        <v>1</v>
      </c>
      <c r="AQ8" s="1">
        <v>247</v>
      </c>
      <c r="AR8" s="1">
        <v>1254</v>
      </c>
      <c r="AS8" s="1">
        <v>2246</v>
      </c>
      <c r="AT8" s="11">
        <f>50+13+32</f>
        <v>95</v>
      </c>
      <c r="AU8">
        <f t="shared" si="0"/>
        <v>827</v>
      </c>
    </row>
    <row r="9" spans="1:47" x14ac:dyDescent="0.25">
      <c r="A9" t="s">
        <v>20</v>
      </c>
      <c r="C9" s="1">
        <v>1985</v>
      </c>
      <c r="D9" s="1">
        <v>3798</v>
      </c>
      <c r="E9" s="1">
        <v>2001</v>
      </c>
      <c r="F9" s="11">
        <f>22+9+10</f>
        <v>41</v>
      </c>
      <c r="H9" s="1">
        <v>20</v>
      </c>
      <c r="I9" s="1">
        <v>58</v>
      </c>
      <c r="J9" s="1">
        <v>138</v>
      </c>
      <c r="K9" s="11">
        <f>7+89+25</f>
        <v>121</v>
      </c>
      <c r="M9" s="9">
        <v>2483</v>
      </c>
      <c r="N9" s="9">
        <v>2783</v>
      </c>
      <c r="O9" s="9">
        <v>3984</v>
      </c>
      <c r="P9" s="11">
        <f>13+17+8</f>
        <v>38</v>
      </c>
      <c r="R9" s="1">
        <v>3497</v>
      </c>
      <c r="S9" s="1">
        <v>2583</v>
      </c>
      <c r="T9" s="1">
        <v>4000</v>
      </c>
      <c r="U9" s="11">
        <f>11+4+25</f>
        <v>40</v>
      </c>
      <c r="W9" s="1">
        <v>2839</v>
      </c>
      <c r="X9" s="1">
        <v>4117</v>
      </c>
      <c r="Y9" s="1">
        <v>3021</v>
      </c>
      <c r="Z9" s="11">
        <f>10+3+7</f>
        <v>20</v>
      </c>
      <c r="AB9" s="1">
        <v>1946</v>
      </c>
      <c r="AC9" s="1">
        <v>1578</v>
      </c>
      <c r="AD9" s="1">
        <v>2231</v>
      </c>
      <c r="AE9" s="11">
        <f>46+11+30</f>
        <v>87</v>
      </c>
      <c r="AF9">
        <v>1</v>
      </c>
      <c r="AG9" s="1">
        <v>862</v>
      </c>
      <c r="AH9" s="1">
        <v>3302</v>
      </c>
      <c r="AI9" s="1">
        <v>1506</v>
      </c>
      <c r="AJ9" s="11">
        <f>73+21+16</f>
        <v>110</v>
      </c>
      <c r="AK9">
        <v>1</v>
      </c>
      <c r="AL9" s="1">
        <v>3607</v>
      </c>
      <c r="AM9" s="1">
        <v>224</v>
      </c>
      <c r="AN9" s="1">
        <v>869</v>
      </c>
      <c r="AO9" s="11">
        <f>9+25+28</f>
        <v>62</v>
      </c>
      <c r="AP9">
        <v>1</v>
      </c>
      <c r="AQ9" s="1">
        <v>2959</v>
      </c>
      <c r="AR9" s="1">
        <v>123</v>
      </c>
      <c r="AS9" s="1">
        <v>4325</v>
      </c>
      <c r="AT9" s="11">
        <f>42+88+7</f>
        <v>137</v>
      </c>
      <c r="AU9">
        <f t="shared" si="0"/>
        <v>656</v>
      </c>
    </row>
    <row r="10" spans="1:47" x14ac:dyDescent="0.25">
      <c r="A10" t="s">
        <v>21</v>
      </c>
      <c r="C10" s="1">
        <v>16</v>
      </c>
      <c r="D10" s="1">
        <v>1764</v>
      </c>
      <c r="E10" s="1">
        <v>935</v>
      </c>
      <c r="F10" s="11">
        <f>70+12+62</f>
        <v>144</v>
      </c>
      <c r="H10" s="1">
        <v>4034</v>
      </c>
      <c r="I10" s="1">
        <v>133</v>
      </c>
      <c r="J10" s="1">
        <v>1721</v>
      </c>
      <c r="K10" s="11">
        <f>25+23+6</f>
        <v>54</v>
      </c>
      <c r="M10" s="9">
        <v>4020</v>
      </c>
      <c r="N10" s="9">
        <v>451</v>
      </c>
      <c r="O10" s="9">
        <v>3966</v>
      </c>
      <c r="P10" s="11">
        <f>12+23+11</f>
        <v>46</v>
      </c>
      <c r="R10" s="1">
        <v>488</v>
      </c>
      <c r="S10" s="13">
        <v>2833</v>
      </c>
      <c r="T10" s="1">
        <v>148</v>
      </c>
      <c r="U10" s="11">
        <f>72+8+67</f>
        <v>147</v>
      </c>
      <c r="W10" s="1">
        <v>1538</v>
      </c>
      <c r="X10" s="1">
        <v>1138</v>
      </c>
      <c r="Y10" s="1">
        <v>4161</v>
      </c>
      <c r="Z10" s="11">
        <f>76+54+91</f>
        <v>221</v>
      </c>
      <c r="AB10" s="1">
        <v>2230</v>
      </c>
      <c r="AC10" s="1">
        <v>4320</v>
      </c>
      <c r="AD10" s="1">
        <v>1943</v>
      </c>
      <c r="AE10" s="11">
        <f>18+51+8</f>
        <v>77</v>
      </c>
      <c r="AF10">
        <v>1</v>
      </c>
      <c r="AG10" s="1">
        <v>302</v>
      </c>
      <c r="AH10" s="1">
        <v>326</v>
      </c>
      <c r="AI10" s="1">
        <v>1243</v>
      </c>
      <c r="AJ10" s="11">
        <f>22+18+26</f>
        <v>66</v>
      </c>
      <c r="AK10">
        <v>1</v>
      </c>
      <c r="AL10" s="1">
        <v>2016</v>
      </c>
      <c r="AM10" s="1">
        <v>1647</v>
      </c>
      <c r="AN10" s="1">
        <v>4342</v>
      </c>
      <c r="AO10" s="11">
        <f>70+39+48</f>
        <v>157</v>
      </c>
      <c r="AP10">
        <v>1</v>
      </c>
      <c r="AQ10" s="1">
        <v>1918</v>
      </c>
      <c r="AR10" s="1">
        <v>85</v>
      </c>
      <c r="AS10" s="1">
        <v>1528</v>
      </c>
      <c r="AT10" s="11">
        <f>101+124+12</f>
        <v>237</v>
      </c>
      <c r="AU10">
        <f t="shared" si="0"/>
        <v>1149</v>
      </c>
    </row>
    <row r="11" spans="1:47" x14ac:dyDescent="0.25">
      <c r="A11" t="s">
        <v>22</v>
      </c>
      <c r="C11" s="1">
        <v>1108</v>
      </c>
      <c r="D11" s="1">
        <v>1939</v>
      </c>
      <c r="E11" s="1">
        <v>2167</v>
      </c>
      <c r="F11" s="11">
        <f>54+16+10</f>
        <v>80</v>
      </c>
      <c r="H11" s="1">
        <v>2791</v>
      </c>
      <c r="I11" s="1">
        <v>172</v>
      </c>
      <c r="J11" s="1">
        <v>885</v>
      </c>
      <c r="K11" s="11">
        <f>49+10+43</f>
        <v>102</v>
      </c>
      <c r="M11" s="9">
        <v>772</v>
      </c>
      <c r="N11" s="9">
        <v>4092</v>
      </c>
      <c r="O11" s="9">
        <v>234</v>
      </c>
      <c r="P11" s="11">
        <f>90+23+119</f>
        <v>232</v>
      </c>
      <c r="R11" s="1">
        <v>3481</v>
      </c>
      <c r="S11" s="1">
        <v>2721</v>
      </c>
      <c r="T11" s="1">
        <v>3370</v>
      </c>
      <c r="U11" s="11">
        <f>25+6+8</f>
        <v>39</v>
      </c>
      <c r="W11" s="1">
        <v>2102</v>
      </c>
      <c r="X11" s="1">
        <v>2493</v>
      </c>
      <c r="Y11" s="1">
        <v>3476</v>
      </c>
      <c r="Z11" s="11">
        <f>20+13+77</f>
        <v>110</v>
      </c>
      <c r="AB11" s="1">
        <v>1577</v>
      </c>
      <c r="AC11" s="1">
        <v>1573</v>
      </c>
      <c r="AD11" s="1">
        <v>3211</v>
      </c>
      <c r="AE11" s="11">
        <f>56+24+44</f>
        <v>124</v>
      </c>
      <c r="AF11">
        <v>2</v>
      </c>
      <c r="AG11" s="1">
        <v>2337</v>
      </c>
      <c r="AH11" s="1">
        <v>1243</v>
      </c>
      <c r="AI11" s="1">
        <v>326</v>
      </c>
      <c r="AJ11" s="11">
        <f>134+26+18</f>
        <v>178</v>
      </c>
      <c r="AK11">
        <v>2</v>
      </c>
      <c r="AL11" s="1">
        <v>341</v>
      </c>
      <c r="AM11" s="1">
        <v>357</v>
      </c>
      <c r="AN11" s="1">
        <v>869</v>
      </c>
      <c r="AO11" s="11">
        <f>113+56+28</f>
        <v>197</v>
      </c>
      <c r="AP11">
        <v>2</v>
      </c>
      <c r="AQ11" s="1">
        <v>4004</v>
      </c>
      <c r="AR11" s="1">
        <v>1528</v>
      </c>
      <c r="AS11" s="1">
        <v>3875</v>
      </c>
      <c r="AT11" s="11">
        <f>14+12+10</f>
        <v>36</v>
      </c>
      <c r="AU11">
        <f t="shared" si="0"/>
        <v>1098</v>
      </c>
    </row>
    <row r="12" spans="1:47" x14ac:dyDescent="0.25">
      <c r="A12" t="s">
        <v>23</v>
      </c>
      <c r="C12" s="1">
        <v>967</v>
      </c>
      <c r="D12" s="1">
        <v>1825</v>
      </c>
      <c r="E12" s="1">
        <v>2345</v>
      </c>
      <c r="F12" s="11">
        <f>27+24+10</f>
        <v>61</v>
      </c>
      <c r="H12" s="1">
        <v>175</v>
      </c>
      <c r="I12" s="1">
        <v>134</v>
      </c>
      <c r="J12" s="1">
        <v>4403</v>
      </c>
      <c r="K12" s="11">
        <f>24+21+47</f>
        <v>92</v>
      </c>
      <c r="M12" s="9">
        <v>1466</v>
      </c>
      <c r="N12" s="9">
        <v>415</v>
      </c>
      <c r="O12" s="9">
        <v>4264</v>
      </c>
      <c r="P12" s="11">
        <f>25+9+31</f>
        <v>65</v>
      </c>
      <c r="R12" s="1">
        <v>2158</v>
      </c>
      <c r="S12" s="1">
        <v>4063</v>
      </c>
      <c r="T12" s="1">
        <v>2461</v>
      </c>
      <c r="U12" s="11">
        <f>56+12+9</f>
        <v>77</v>
      </c>
      <c r="W12" s="1">
        <v>1622</v>
      </c>
      <c r="X12" s="1">
        <v>2984</v>
      </c>
      <c r="Y12" s="1">
        <v>3480</v>
      </c>
      <c r="Z12" s="11">
        <f>57+31+11</f>
        <v>99</v>
      </c>
      <c r="AB12" s="1">
        <v>1657</v>
      </c>
      <c r="AC12" s="1">
        <v>1942</v>
      </c>
      <c r="AD12" s="1">
        <v>3083</v>
      </c>
      <c r="AE12" s="11">
        <f>46+49+52</f>
        <v>147</v>
      </c>
      <c r="AF12">
        <v>1</v>
      </c>
      <c r="AG12" s="1">
        <v>494</v>
      </c>
      <c r="AH12" s="1">
        <v>2137</v>
      </c>
      <c r="AI12" s="1">
        <v>2604</v>
      </c>
      <c r="AJ12" s="11">
        <f>39+23+20</f>
        <v>82</v>
      </c>
      <c r="AK12">
        <v>2</v>
      </c>
      <c r="AL12" s="1">
        <v>1647</v>
      </c>
      <c r="AM12" s="1">
        <v>1712</v>
      </c>
      <c r="AN12" s="1">
        <v>224</v>
      </c>
      <c r="AO12" s="11">
        <f>39+25+25</f>
        <v>89</v>
      </c>
      <c r="AP12">
        <v>1</v>
      </c>
      <c r="AQ12" s="1">
        <v>4004</v>
      </c>
      <c r="AR12" s="1">
        <v>904</v>
      </c>
      <c r="AS12" s="1">
        <v>3875</v>
      </c>
      <c r="AT12" s="11">
        <f>14+30+10</f>
        <v>54</v>
      </c>
      <c r="AU12">
        <f t="shared" si="0"/>
        <v>766</v>
      </c>
    </row>
    <row r="13" spans="1:47" x14ac:dyDescent="0.25">
      <c r="A13" t="s">
        <v>24</v>
      </c>
      <c r="C13" s="1">
        <v>1730</v>
      </c>
      <c r="D13" s="1">
        <v>1785</v>
      </c>
      <c r="E13" s="1">
        <v>1723</v>
      </c>
      <c r="F13" s="11">
        <f>55+6+10</f>
        <v>71</v>
      </c>
      <c r="H13" s="1">
        <v>78</v>
      </c>
      <c r="I13" s="1">
        <v>1729</v>
      </c>
      <c r="J13" s="1">
        <v>126</v>
      </c>
      <c r="K13" s="11">
        <f>41+9+78</f>
        <v>128</v>
      </c>
      <c r="M13" s="9">
        <v>1261</v>
      </c>
      <c r="N13" s="9">
        <v>538</v>
      </c>
      <c r="O13" s="9">
        <v>2190</v>
      </c>
      <c r="P13" s="11">
        <f>37+36+8</f>
        <v>81</v>
      </c>
      <c r="R13" s="1">
        <v>2936</v>
      </c>
      <c r="S13" s="1">
        <v>3103</v>
      </c>
      <c r="T13" s="1">
        <v>231</v>
      </c>
      <c r="U13" s="11">
        <f>56+48+71</f>
        <v>175</v>
      </c>
      <c r="W13" s="1">
        <v>599</v>
      </c>
      <c r="X13" s="1">
        <v>2339</v>
      </c>
      <c r="Y13" s="1">
        <v>2658</v>
      </c>
      <c r="Z13" s="11">
        <f>50+40+9</f>
        <v>99</v>
      </c>
      <c r="AB13" s="1">
        <v>1937</v>
      </c>
      <c r="AC13" s="1">
        <v>1662</v>
      </c>
      <c r="AD13" s="13">
        <v>1580</v>
      </c>
      <c r="AE13" s="11">
        <f>54+92+13</f>
        <v>159</v>
      </c>
      <c r="AF13">
        <v>1</v>
      </c>
      <c r="AG13" s="1">
        <v>70</v>
      </c>
      <c r="AH13" s="13">
        <v>3322</v>
      </c>
      <c r="AI13" s="1">
        <v>894</v>
      </c>
      <c r="AJ13" s="11">
        <f>27+78+30</f>
        <v>135</v>
      </c>
      <c r="AK13">
        <v>2</v>
      </c>
      <c r="AL13" s="1">
        <v>1640</v>
      </c>
      <c r="AM13" s="1">
        <v>293</v>
      </c>
      <c r="AN13" s="1">
        <v>1391</v>
      </c>
      <c r="AO13" s="11">
        <f>55+20+13</f>
        <v>88</v>
      </c>
      <c r="AP13">
        <v>1</v>
      </c>
      <c r="AQ13" s="1">
        <v>2771</v>
      </c>
      <c r="AR13" s="1">
        <v>3656</v>
      </c>
      <c r="AS13" s="1">
        <v>4377</v>
      </c>
      <c r="AT13" s="11">
        <f>12+33+45</f>
        <v>90</v>
      </c>
      <c r="AU13">
        <f t="shared" si="0"/>
        <v>1026</v>
      </c>
    </row>
    <row r="14" spans="1:47" x14ac:dyDescent="0.25">
      <c r="A14" t="s">
        <v>25</v>
      </c>
      <c r="C14" s="1">
        <v>1208</v>
      </c>
      <c r="D14" s="1">
        <v>1984</v>
      </c>
      <c r="E14" s="1">
        <v>1802</v>
      </c>
      <c r="F14" s="12">
        <f>71+25+26</f>
        <v>122</v>
      </c>
      <c r="H14" s="1">
        <v>1547</v>
      </c>
      <c r="I14" s="1">
        <v>509</v>
      </c>
      <c r="J14" s="1">
        <v>1517</v>
      </c>
      <c r="K14" s="12">
        <f>15+9+7</f>
        <v>31</v>
      </c>
      <c r="M14" s="9">
        <v>337</v>
      </c>
      <c r="N14" s="9">
        <v>3824</v>
      </c>
      <c r="O14" s="9">
        <v>4098</v>
      </c>
      <c r="P14" s="12">
        <f>10+41+24</f>
        <v>75</v>
      </c>
      <c r="R14" s="1">
        <v>245</v>
      </c>
      <c r="S14" s="1">
        <v>3478</v>
      </c>
      <c r="T14" s="1">
        <v>4219</v>
      </c>
      <c r="U14" s="12">
        <f>26+28+18</f>
        <v>72</v>
      </c>
      <c r="W14" s="1">
        <v>399</v>
      </c>
      <c r="X14" s="1">
        <v>3965</v>
      </c>
      <c r="Y14" s="1">
        <v>2599</v>
      </c>
      <c r="Z14" s="12">
        <f>63+49+28</f>
        <v>140</v>
      </c>
      <c r="AB14" s="1">
        <v>2212</v>
      </c>
      <c r="AC14" s="1">
        <v>3358</v>
      </c>
      <c r="AD14" s="1">
        <v>4338</v>
      </c>
      <c r="AE14" s="12">
        <f>14+13+24</f>
        <v>51</v>
      </c>
      <c r="AF14">
        <v>1</v>
      </c>
      <c r="AG14" s="1">
        <v>51</v>
      </c>
      <c r="AH14" s="1">
        <v>3536</v>
      </c>
      <c r="AI14" s="1">
        <v>4294</v>
      </c>
      <c r="AJ14" s="12">
        <f>65+28+72</f>
        <v>165</v>
      </c>
      <c r="AK14">
        <v>2</v>
      </c>
      <c r="AL14" s="1">
        <v>2016</v>
      </c>
      <c r="AM14" s="1">
        <v>3123</v>
      </c>
      <c r="AN14" s="1">
        <v>4285</v>
      </c>
      <c r="AO14" s="12">
        <f>70+14+25</f>
        <v>109</v>
      </c>
      <c r="AP14">
        <v>2</v>
      </c>
      <c r="AQ14" s="1">
        <v>247</v>
      </c>
      <c r="AR14" s="1">
        <v>4409</v>
      </c>
      <c r="AS14" s="1">
        <v>904</v>
      </c>
      <c r="AT14" s="12">
        <f>50+22+30</f>
        <v>102</v>
      </c>
      <c r="AU14">
        <f t="shared" si="0"/>
        <v>867</v>
      </c>
    </row>
    <row r="16" spans="1:47" x14ac:dyDescent="0.25">
      <c r="S16" s="1"/>
      <c r="T16" s="1"/>
    </row>
  </sheetData>
  <mergeCells count="9">
    <mergeCell ref="B1:F1"/>
    <mergeCell ref="G1:K1"/>
    <mergeCell ref="L1:P1"/>
    <mergeCell ref="Q1:U1"/>
    <mergeCell ref="AP1:AT1"/>
    <mergeCell ref="V1:Z1"/>
    <mergeCell ref="AA1:AE1"/>
    <mergeCell ref="AF1:AJ1"/>
    <mergeCell ref="AK1:AO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5"/>
  <sheetViews>
    <sheetView zoomScaleNormal="100" workbookViewId="0">
      <pane xSplit="1" topLeftCell="AQ1" activePane="topRight" state="frozen"/>
      <selection pane="topRight" activeCell="AW27" sqref="AW27:AW46"/>
    </sheetView>
  </sheetViews>
  <sheetFormatPr defaultRowHeight="15" x14ac:dyDescent="0.25"/>
  <cols>
    <col min="1" max="1" width="14.28515625" customWidth="1"/>
  </cols>
  <sheetData>
    <row r="1" spans="1:63" x14ac:dyDescent="0.25">
      <c r="B1" s="19" t="s">
        <v>36</v>
      </c>
      <c r="C1" s="19"/>
      <c r="D1" s="19"/>
      <c r="E1" s="19"/>
      <c r="F1" s="19"/>
      <c r="G1" s="19" t="s">
        <v>37</v>
      </c>
      <c r="H1" s="19"/>
      <c r="I1" s="19"/>
      <c r="J1" s="19"/>
      <c r="K1" s="19"/>
      <c r="L1" s="19" t="s">
        <v>38</v>
      </c>
      <c r="M1" s="19"/>
      <c r="N1" s="19"/>
      <c r="O1" s="19"/>
      <c r="P1" s="19"/>
      <c r="Q1" s="19" t="s">
        <v>39</v>
      </c>
      <c r="R1" s="19"/>
      <c r="S1" s="19"/>
      <c r="T1" s="19"/>
      <c r="U1" s="19"/>
      <c r="V1" s="19" t="s">
        <v>40</v>
      </c>
      <c r="W1" s="19"/>
      <c r="X1" s="19"/>
      <c r="Y1" s="19"/>
      <c r="Z1" s="19"/>
      <c r="AA1" s="19" t="s">
        <v>41</v>
      </c>
      <c r="AB1" s="19"/>
      <c r="AC1" s="19"/>
      <c r="AD1" s="19"/>
      <c r="AE1" s="19"/>
      <c r="AF1" s="19" t="s">
        <v>60</v>
      </c>
      <c r="AG1" s="19"/>
      <c r="AH1" s="19"/>
      <c r="AI1" s="19"/>
      <c r="AJ1" s="19"/>
      <c r="AK1" s="19" t="s">
        <v>42</v>
      </c>
      <c r="AL1" s="19"/>
      <c r="AM1" s="19"/>
      <c r="AN1" s="19"/>
      <c r="AO1" s="19"/>
      <c r="AP1" s="19" t="s">
        <v>43</v>
      </c>
      <c r="AQ1" s="19"/>
      <c r="AR1" s="19"/>
      <c r="AS1" s="19"/>
      <c r="AT1" s="19"/>
      <c r="AU1" s="19" t="s">
        <v>44</v>
      </c>
      <c r="AV1" s="19"/>
      <c r="AW1" s="19"/>
      <c r="AX1" s="19"/>
      <c r="AY1" s="19"/>
      <c r="AZ1" s="19" t="s">
        <v>45</v>
      </c>
      <c r="BA1" s="19"/>
      <c r="BB1" s="19"/>
      <c r="BC1" s="19"/>
      <c r="BD1" s="19"/>
      <c r="BE1" s="19" t="s">
        <v>46</v>
      </c>
      <c r="BF1" s="19"/>
      <c r="BG1" s="19"/>
      <c r="BH1" s="19"/>
      <c r="BI1" s="19"/>
      <c r="BJ1" t="s">
        <v>34</v>
      </c>
    </row>
    <row r="2" spans="1:63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2</v>
      </c>
      <c r="AG2" t="s">
        <v>3</v>
      </c>
      <c r="AH2" t="s">
        <v>4</v>
      </c>
      <c r="AI2" t="s">
        <v>5</v>
      </c>
      <c r="AJ2" t="s">
        <v>27</v>
      </c>
      <c r="AK2" t="s">
        <v>2</v>
      </c>
      <c r="AL2" t="s">
        <v>3</v>
      </c>
      <c r="AM2" t="s">
        <v>4</v>
      </c>
      <c r="AN2" t="s">
        <v>5</v>
      </c>
      <c r="AO2" t="s">
        <v>27</v>
      </c>
      <c r="AP2" t="s">
        <v>2</v>
      </c>
      <c r="AQ2" t="s">
        <v>3</v>
      </c>
      <c r="AR2" t="s">
        <v>4</v>
      </c>
      <c r="AS2" t="s">
        <v>5</v>
      </c>
      <c r="AT2" t="s">
        <v>27</v>
      </c>
      <c r="AU2" t="s">
        <v>2</v>
      </c>
      <c r="AV2" t="s">
        <v>3</v>
      </c>
      <c r="AW2" t="s">
        <v>4</v>
      </c>
      <c r="AX2" t="s">
        <v>5</v>
      </c>
      <c r="AY2" t="s">
        <v>27</v>
      </c>
      <c r="AZ2" t="s">
        <v>2</v>
      </c>
      <c r="BA2" t="s">
        <v>3</v>
      </c>
      <c r="BB2" t="s">
        <v>4</v>
      </c>
      <c r="BC2" t="s">
        <v>5</v>
      </c>
      <c r="BD2" t="s">
        <v>27</v>
      </c>
      <c r="BE2" t="s">
        <v>2</v>
      </c>
      <c r="BF2" t="s">
        <v>3</v>
      </c>
      <c r="BG2" t="s">
        <v>4</v>
      </c>
      <c r="BH2" t="s">
        <v>5</v>
      </c>
      <c r="BI2" t="s">
        <v>27</v>
      </c>
    </row>
    <row r="3" spans="1:63" x14ac:dyDescent="0.25">
      <c r="A3" t="s">
        <v>14</v>
      </c>
      <c r="B3">
        <v>1</v>
      </c>
      <c r="C3" s="1">
        <v>610</v>
      </c>
      <c r="D3" s="1">
        <v>865</v>
      </c>
      <c r="E3" s="1">
        <v>2185</v>
      </c>
      <c r="F3" s="6">
        <f>93+18+26</f>
        <v>137</v>
      </c>
      <c r="H3" s="1">
        <v>233</v>
      </c>
      <c r="I3" s="1">
        <v>4352</v>
      </c>
      <c r="J3" s="1">
        <v>4333</v>
      </c>
      <c r="K3" s="6">
        <f>126+11+12</f>
        <v>149</v>
      </c>
      <c r="L3">
        <v>1</v>
      </c>
      <c r="M3" s="1">
        <v>549</v>
      </c>
      <c r="N3" s="1">
        <v>4254</v>
      </c>
      <c r="O3" s="1">
        <v>4042</v>
      </c>
      <c r="P3" s="6">
        <f>47+12+16</f>
        <v>75</v>
      </c>
      <c r="R3" s="1">
        <v>88</v>
      </c>
      <c r="S3" s="1">
        <v>1719</v>
      </c>
      <c r="T3" s="1">
        <v>714</v>
      </c>
      <c r="U3" s="6">
        <f>26+30+47</f>
        <v>103</v>
      </c>
      <c r="W3" s="1">
        <v>1816</v>
      </c>
      <c r="X3" s="1">
        <v>4238</v>
      </c>
      <c r="Y3" s="1">
        <v>4230</v>
      </c>
      <c r="Z3" s="6">
        <f>23+14+9</f>
        <v>46</v>
      </c>
      <c r="AB3" s="1">
        <v>1511</v>
      </c>
      <c r="AC3" s="1">
        <v>3951</v>
      </c>
      <c r="AD3" s="1">
        <v>4124</v>
      </c>
      <c r="AE3" s="10">
        <f>58+65+48</f>
        <v>171</v>
      </c>
      <c r="AG3" s="1">
        <v>107</v>
      </c>
      <c r="AH3" s="1">
        <v>3639</v>
      </c>
      <c r="AI3" s="1">
        <v>2245</v>
      </c>
      <c r="AJ3" s="6">
        <f>68+12+17</f>
        <v>97</v>
      </c>
      <c r="AL3" s="1">
        <v>1540</v>
      </c>
      <c r="AM3" s="1">
        <v>4257</v>
      </c>
      <c r="AN3" s="1">
        <v>4132</v>
      </c>
      <c r="AO3" s="6">
        <f>37+14+14</f>
        <v>65</v>
      </c>
      <c r="AQ3" s="1">
        <v>375</v>
      </c>
      <c r="AR3" s="1">
        <v>4049</v>
      </c>
      <c r="AS3" s="1">
        <v>2428</v>
      </c>
      <c r="AT3" s="6">
        <f>55+8+12</f>
        <v>75</v>
      </c>
      <c r="AU3">
        <v>1</v>
      </c>
      <c r="AV3" s="1">
        <v>3538</v>
      </c>
      <c r="AW3" s="1">
        <v>1250</v>
      </c>
      <c r="AX3" s="1">
        <v>3667</v>
      </c>
      <c r="AY3" s="6">
        <f>24+20+30</f>
        <v>74</v>
      </c>
      <c r="AZ3">
        <v>1</v>
      </c>
      <c r="BA3" s="1">
        <v>1495</v>
      </c>
      <c r="BB3" s="1">
        <v>2539</v>
      </c>
      <c r="BC3" s="1">
        <v>1257</v>
      </c>
      <c r="BD3" s="6">
        <f>14+28+16</f>
        <v>58</v>
      </c>
      <c r="BE3">
        <v>2</v>
      </c>
      <c r="BF3" s="1">
        <v>1676</v>
      </c>
      <c r="BG3" s="1">
        <v>1403</v>
      </c>
      <c r="BH3" s="1">
        <v>4347</v>
      </c>
      <c r="BI3" s="6">
        <f>106+61+35</f>
        <v>202</v>
      </c>
      <c r="BJ3">
        <f t="shared" ref="BJ3:BJ14" si="0">SUM(AO3,AT3,AE3,Z3,U3,P3,K3,F3,AY3,BD3,BI3)</f>
        <v>1155</v>
      </c>
    </row>
    <row r="4" spans="1:63" x14ac:dyDescent="0.25">
      <c r="A4" t="s">
        <v>15</v>
      </c>
      <c r="B4">
        <v>2</v>
      </c>
      <c r="C4" s="1">
        <v>610</v>
      </c>
      <c r="D4" s="1">
        <v>548</v>
      </c>
      <c r="E4" s="1">
        <v>3360</v>
      </c>
      <c r="F4" s="7">
        <f>93+24+45</f>
        <v>162</v>
      </c>
      <c r="H4" s="1">
        <v>103</v>
      </c>
      <c r="I4" s="1">
        <v>3242</v>
      </c>
      <c r="J4" s="1">
        <v>3164</v>
      </c>
      <c r="K4" s="7">
        <f>59+36+12</f>
        <v>107</v>
      </c>
      <c r="L4">
        <v>2</v>
      </c>
      <c r="M4" s="1">
        <v>3280</v>
      </c>
      <c r="N4" s="1">
        <v>2370</v>
      </c>
      <c r="O4" s="1">
        <v>1735</v>
      </c>
      <c r="P4" s="7">
        <f>25+22+22</f>
        <v>69</v>
      </c>
      <c r="R4" s="1">
        <v>1629</v>
      </c>
      <c r="S4" s="1">
        <v>2199</v>
      </c>
      <c r="T4" s="1">
        <v>612</v>
      </c>
      <c r="U4" s="7">
        <f>54+25+36</f>
        <v>115</v>
      </c>
      <c r="W4" s="1">
        <v>2512</v>
      </c>
      <c r="X4" s="1">
        <v>3839</v>
      </c>
      <c r="Y4" s="1">
        <v>3840</v>
      </c>
      <c r="Z4" s="7">
        <f>44+9+42</f>
        <v>95</v>
      </c>
      <c r="AB4" s="1">
        <v>1507</v>
      </c>
      <c r="AC4" s="1">
        <v>3173</v>
      </c>
      <c r="AD4" s="1">
        <v>4203</v>
      </c>
      <c r="AE4" s="11">
        <f>101+34+34</f>
        <v>169</v>
      </c>
      <c r="AG4" s="1">
        <v>141</v>
      </c>
      <c r="AH4" s="1">
        <v>2246</v>
      </c>
      <c r="AI4" s="13">
        <v>3602</v>
      </c>
      <c r="AJ4" s="7">
        <f>27+47+28</f>
        <v>102</v>
      </c>
      <c r="AL4" s="1">
        <v>3711</v>
      </c>
      <c r="AM4" s="1">
        <v>2046</v>
      </c>
      <c r="AN4" s="1">
        <v>2471</v>
      </c>
      <c r="AO4" s="7">
        <f>65+57+49</f>
        <v>171</v>
      </c>
      <c r="AQ4" s="1">
        <v>3492</v>
      </c>
      <c r="AR4" s="1">
        <v>156</v>
      </c>
      <c r="AS4" s="1">
        <v>1675</v>
      </c>
      <c r="AT4" s="7">
        <f>26+28+16</f>
        <v>70</v>
      </c>
      <c r="AU4">
        <v>2</v>
      </c>
      <c r="AV4" s="1">
        <v>2612</v>
      </c>
      <c r="AW4" s="1">
        <v>573</v>
      </c>
      <c r="AX4" s="1">
        <v>3547</v>
      </c>
      <c r="AY4" s="7">
        <f>16+73+20</f>
        <v>109</v>
      </c>
      <c r="AZ4">
        <v>2</v>
      </c>
      <c r="BA4" s="1">
        <v>222</v>
      </c>
      <c r="BB4" s="1">
        <v>3123</v>
      </c>
      <c r="BC4" s="1">
        <v>816</v>
      </c>
      <c r="BD4" s="7">
        <f>82+30+24</f>
        <v>136</v>
      </c>
      <c r="BE4">
        <v>1</v>
      </c>
      <c r="BF4" s="1">
        <v>1279</v>
      </c>
      <c r="BG4" s="1">
        <v>56</v>
      </c>
      <c r="BH4" s="1">
        <v>1367</v>
      </c>
      <c r="BI4" s="7">
        <f>46+80+24</f>
        <v>150</v>
      </c>
      <c r="BJ4">
        <f>SUM(AO4,AT4,AE4,Z4,U4,P4,K4,F4,AY4,BD4,BI4)</f>
        <v>1353</v>
      </c>
      <c r="BK4" s="14"/>
    </row>
    <row r="5" spans="1:63" x14ac:dyDescent="0.25">
      <c r="A5" t="s">
        <v>16</v>
      </c>
      <c r="B5">
        <v>1</v>
      </c>
      <c r="C5" s="1">
        <v>548</v>
      </c>
      <c r="D5" s="1">
        <v>1325</v>
      </c>
      <c r="E5" s="1">
        <v>2626</v>
      </c>
      <c r="F5" s="7">
        <f>24+12+26</f>
        <v>62</v>
      </c>
      <c r="H5" s="1">
        <v>86</v>
      </c>
      <c r="I5" s="1">
        <v>1649</v>
      </c>
      <c r="J5" s="1">
        <v>180</v>
      </c>
      <c r="K5" s="7">
        <f>71+12+89</f>
        <v>172</v>
      </c>
      <c r="L5">
        <v>2</v>
      </c>
      <c r="M5" s="1">
        <v>2648</v>
      </c>
      <c r="N5" s="1">
        <v>190</v>
      </c>
      <c r="O5" s="1">
        <v>4042</v>
      </c>
      <c r="P5" s="7">
        <f>65+56+16</f>
        <v>137</v>
      </c>
      <c r="R5" s="1">
        <v>768</v>
      </c>
      <c r="S5" s="1">
        <v>3419</v>
      </c>
      <c r="T5" s="1">
        <v>2528</v>
      </c>
      <c r="U5" s="7">
        <f>18+60+20</f>
        <v>98</v>
      </c>
      <c r="W5" s="1">
        <v>1714</v>
      </c>
      <c r="X5" s="1">
        <v>2472</v>
      </c>
      <c r="Y5" s="1">
        <v>2470</v>
      </c>
      <c r="Z5" s="7">
        <f>147+16+14</f>
        <v>177</v>
      </c>
      <c r="AB5" s="1">
        <v>578</v>
      </c>
      <c r="AC5" s="1">
        <v>639</v>
      </c>
      <c r="AD5" s="1">
        <v>843</v>
      </c>
      <c r="AE5" s="11">
        <f>22+80+52</f>
        <v>154</v>
      </c>
      <c r="AG5" s="1">
        <v>201</v>
      </c>
      <c r="AH5" s="1">
        <v>4375</v>
      </c>
      <c r="AI5" s="1">
        <v>3537</v>
      </c>
      <c r="AJ5" s="7">
        <f>19+14+37</f>
        <v>70</v>
      </c>
      <c r="AL5" s="1">
        <v>955</v>
      </c>
      <c r="AM5" s="1">
        <v>3210</v>
      </c>
      <c r="AN5" s="1">
        <v>2811</v>
      </c>
      <c r="AO5" s="7">
        <f>6+15+11</f>
        <v>32</v>
      </c>
      <c r="AQ5" s="1">
        <v>2252</v>
      </c>
      <c r="AR5" s="1">
        <v>3062</v>
      </c>
      <c r="AS5" s="1">
        <v>2656</v>
      </c>
      <c r="AT5" s="7">
        <f>54+10+12</f>
        <v>76</v>
      </c>
      <c r="AU5">
        <v>1</v>
      </c>
      <c r="AV5" s="1">
        <v>573</v>
      </c>
      <c r="AW5" s="1">
        <v>503</v>
      </c>
      <c r="AX5" s="1">
        <v>308</v>
      </c>
      <c r="AY5" s="7">
        <f>73+60+12</f>
        <v>145</v>
      </c>
      <c r="AZ5">
        <v>2</v>
      </c>
      <c r="BA5" s="1">
        <v>1218</v>
      </c>
      <c r="BB5" s="1">
        <v>486</v>
      </c>
      <c r="BC5" s="1">
        <v>4035</v>
      </c>
      <c r="BD5" s="7">
        <f>101+73+18</f>
        <v>192</v>
      </c>
      <c r="BE5">
        <v>1</v>
      </c>
      <c r="BF5" s="1">
        <v>1676</v>
      </c>
      <c r="BG5" s="1">
        <v>1811</v>
      </c>
      <c r="BH5" s="1">
        <v>4281</v>
      </c>
      <c r="BI5" s="7">
        <f>106+37+20</f>
        <v>163</v>
      </c>
      <c r="BJ5">
        <f t="shared" si="0"/>
        <v>1408</v>
      </c>
    </row>
    <row r="6" spans="1:63" x14ac:dyDescent="0.25">
      <c r="A6" t="s">
        <v>17</v>
      </c>
      <c r="B6">
        <v>2</v>
      </c>
      <c r="C6" s="1">
        <v>2056</v>
      </c>
      <c r="D6" s="1">
        <v>2809</v>
      </c>
      <c r="E6" s="1">
        <v>1241</v>
      </c>
      <c r="F6" s="7">
        <f>95+72+33</f>
        <v>200</v>
      </c>
      <c r="H6" s="1">
        <v>801</v>
      </c>
      <c r="I6" s="1">
        <v>744</v>
      </c>
      <c r="J6" s="1">
        <v>4223</v>
      </c>
      <c r="K6" s="7">
        <f>18+56+6</f>
        <v>80</v>
      </c>
      <c r="L6">
        <v>1</v>
      </c>
      <c r="M6" s="1">
        <v>3280</v>
      </c>
      <c r="N6" s="1">
        <v>839</v>
      </c>
      <c r="O6" s="1">
        <v>3930</v>
      </c>
      <c r="P6" s="7">
        <f>25+110+58</f>
        <v>193</v>
      </c>
      <c r="R6" s="1">
        <v>836</v>
      </c>
      <c r="S6" s="1">
        <v>1155</v>
      </c>
      <c r="T6" s="1">
        <v>1895</v>
      </c>
      <c r="U6" s="7">
        <f>74+9+13</f>
        <v>96</v>
      </c>
      <c r="W6" s="1">
        <v>2500</v>
      </c>
      <c r="X6" s="1">
        <v>2175</v>
      </c>
      <c r="Y6" s="1">
        <v>2977</v>
      </c>
      <c r="Z6" s="7">
        <f>11+26+15</f>
        <v>52</v>
      </c>
      <c r="AB6" s="1">
        <v>340</v>
      </c>
      <c r="AC6" s="1">
        <v>3044</v>
      </c>
      <c r="AD6" s="1">
        <v>3613</v>
      </c>
      <c r="AE6" s="11">
        <f>114+42+20</f>
        <v>176</v>
      </c>
      <c r="AG6" s="1">
        <v>2145</v>
      </c>
      <c r="AH6" s="1">
        <v>2586</v>
      </c>
      <c r="AI6" s="1">
        <v>3772</v>
      </c>
      <c r="AJ6" s="7">
        <f>17+42+11</f>
        <v>70</v>
      </c>
      <c r="AL6" s="1">
        <v>2443</v>
      </c>
      <c r="AM6" s="1">
        <v>2605</v>
      </c>
      <c r="AN6" s="1">
        <v>4051</v>
      </c>
      <c r="AO6" s="7">
        <f>44+9+14</f>
        <v>67</v>
      </c>
      <c r="AQ6" s="1">
        <v>3193</v>
      </c>
      <c r="AR6" s="1">
        <v>3504</v>
      </c>
      <c r="AS6" s="1">
        <v>4032</v>
      </c>
      <c r="AT6" s="7">
        <f>35+56+8</f>
        <v>99</v>
      </c>
      <c r="AU6">
        <v>1</v>
      </c>
      <c r="AV6" s="1">
        <v>3098</v>
      </c>
      <c r="AW6" s="1">
        <v>2612</v>
      </c>
      <c r="AX6" s="13">
        <v>3175</v>
      </c>
      <c r="AY6" s="7">
        <f>77+16+0</f>
        <v>93</v>
      </c>
      <c r="AZ6">
        <v>1</v>
      </c>
      <c r="BA6" s="1">
        <v>222</v>
      </c>
      <c r="BB6" s="1">
        <v>3929</v>
      </c>
      <c r="BC6" s="1">
        <v>816</v>
      </c>
      <c r="BD6" s="7">
        <f>82+50+24</f>
        <v>156</v>
      </c>
      <c r="BE6">
        <v>2</v>
      </c>
      <c r="BF6" s="1">
        <v>11</v>
      </c>
      <c r="BG6" s="1">
        <v>1279</v>
      </c>
      <c r="BH6" s="13">
        <v>3142</v>
      </c>
      <c r="BI6" s="7">
        <f>61+46+44</f>
        <v>151</v>
      </c>
      <c r="BJ6">
        <f t="shared" si="0"/>
        <v>1363</v>
      </c>
    </row>
    <row r="7" spans="1:63" x14ac:dyDescent="0.25">
      <c r="A7" t="s">
        <v>18</v>
      </c>
      <c r="B7">
        <v>2</v>
      </c>
      <c r="C7" s="1">
        <v>188</v>
      </c>
      <c r="D7" s="1">
        <v>1547</v>
      </c>
      <c r="E7" s="1">
        <v>1075</v>
      </c>
      <c r="F7" s="7">
        <f>69+21+24</f>
        <v>114</v>
      </c>
      <c r="H7" s="1">
        <v>179</v>
      </c>
      <c r="I7" s="1">
        <v>3611</v>
      </c>
      <c r="J7" s="1">
        <v>2797</v>
      </c>
      <c r="K7" s="7">
        <f>20+10+27</f>
        <v>57</v>
      </c>
      <c r="L7">
        <v>2</v>
      </c>
      <c r="M7" s="1">
        <v>177</v>
      </c>
      <c r="N7" s="1">
        <v>839</v>
      </c>
      <c r="O7" s="1">
        <v>348</v>
      </c>
      <c r="P7" s="7">
        <f>50+110+47</f>
        <v>207</v>
      </c>
      <c r="R7" s="1">
        <v>888</v>
      </c>
      <c r="S7" s="1">
        <v>181</v>
      </c>
      <c r="T7" s="1">
        <v>509</v>
      </c>
      <c r="U7" s="7">
        <f>40+43+12</f>
        <v>95</v>
      </c>
      <c r="W7" s="1">
        <v>2826</v>
      </c>
      <c r="X7" s="1">
        <v>2220</v>
      </c>
      <c r="Y7" s="1">
        <v>2491</v>
      </c>
      <c r="Z7" s="7">
        <f>58+48+12</f>
        <v>118</v>
      </c>
      <c r="AB7" s="1">
        <v>1126</v>
      </c>
      <c r="AC7" s="1">
        <v>2172</v>
      </c>
      <c r="AD7" s="1">
        <v>1591</v>
      </c>
      <c r="AE7" s="11">
        <f>36+42+14</f>
        <v>92</v>
      </c>
      <c r="AG7" s="1">
        <v>74</v>
      </c>
      <c r="AH7" s="1">
        <v>2474</v>
      </c>
      <c r="AI7" s="1">
        <v>4391</v>
      </c>
      <c r="AJ7" s="7">
        <f>10+54+41</f>
        <v>105</v>
      </c>
      <c r="AL7" s="1">
        <v>1510</v>
      </c>
      <c r="AM7" s="1">
        <v>2439</v>
      </c>
      <c r="AN7" s="1">
        <v>1544</v>
      </c>
      <c r="AO7" s="7">
        <f>36+35+2</f>
        <v>73</v>
      </c>
      <c r="AQ7" s="1">
        <v>291</v>
      </c>
      <c r="AR7" s="1">
        <v>1743</v>
      </c>
      <c r="AS7" s="1">
        <v>2051</v>
      </c>
      <c r="AT7" s="7">
        <f>18+17+14</f>
        <v>49</v>
      </c>
      <c r="AU7">
        <v>2</v>
      </c>
      <c r="AV7" s="1">
        <v>3098</v>
      </c>
      <c r="AW7" s="1">
        <v>68</v>
      </c>
      <c r="AX7" s="1">
        <v>3667</v>
      </c>
      <c r="AY7" s="7">
        <f>77+28+30</f>
        <v>135</v>
      </c>
      <c r="AZ7">
        <v>2</v>
      </c>
      <c r="BA7" s="1">
        <v>365</v>
      </c>
      <c r="BB7" s="1">
        <v>316</v>
      </c>
      <c r="BC7" s="1">
        <v>3553</v>
      </c>
      <c r="BD7" s="7">
        <f>45+39+4</f>
        <v>88</v>
      </c>
      <c r="BE7">
        <v>2</v>
      </c>
      <c r="BF7" s="1">
        <v>2016</v>
      </c>
      <c r="BG7" s="1">
        <v>102</v>
      </c>
      <c r="BH7" s="1">
        <v>1143</v>
      </c>
      <c r="BI7" s="7">
        <f>48+12+24</f>
        <v>84</v>
      </c>
      <c r="BJ7">
        <f t="shared" si="0"/>
        <v>1112</v>
      </c>
    </row>
    <row r="8" spans="1:63" x14ac:dyDescent="0.25">
      <c r="A8" t="s">
        <v>19</v>
      </c>
      <c r="B8">
        <v>2</v>
      </c>
      <c r="C8" s="1">
        <v>1114</v>
      </c>
      <c r="D8" s="1">
        <v>2185</v>
      </c>
      <c r="E8" s="1">
        <v>781</v>
      </c>
      <c r="F8" s="7">
        <f>145+26+44</f>
        <v>215</v>
      </c>
      <c r="H8" s="1">
        <v>1592</v>
      </c>
      <c r="I8" s="1">
        <v>1065</v>
      </c>
      <c r="J8" s="1">
        <v>3410</v>
      </c>
      <c r="K8" s="7">
        <f>73+60+6</f>
        <v>139</v>
      </c>
      <c r="L8">
        <v>1</v>
      </c>
      <c r="M8" s="1">
        <v>177</v>
      </c>
      <c r="N8" s="1">
        <v>558</v>
      </c>
      <c r="O8" s="1">
        <v>348</v>
      </c>
      <c r="P8" s="7">
        <f>50+30+47</f>
        <v>127</v>
      </c>
      <c r="R8" s="1">
        <v>2377</v>
      </c>
      <c r="S8" s="1">
        <v>4067</v>
      </c>
      <c r="T8" s="1">
        <v>2068</v>
      </c>
      <c r="U8" s="7">
        <f>81+25+39</f>
        <v>145</v>
      </c>
      <c r="W8" s="1">
        <v>876</v>
      </c>
      <c r="X8" s="1">
        <v>2518</v>
      </c>
      <c r="Y8" s="1">
        <v>2957</v>
      </c>
      <c r="Z8" s="7">
        <f>20+18+18</f>
        <v>56</v>
      </c>
      <c r="AB8" s="1">
        <v>174</v>
      </c>
      <c r="AC8" s="1">
        <v>120</v>
      </c>
      <c r="AD8" s="1">
        <v>1405</v>
      </c>
      <c r="AE8" s="11">
        <f>61+24+10</f>
        <v>95</v>
      </c>
      <c r="AG8" s="1">
        <v>830</v>
      </c>
      <c r="AH8" s="1">
        <v>4398</v>
      </c>
      <c r="AI8" s="1">
        <v>835</v>
      </c>
      <c r="AJ8" s="7">
        <f>56+37+20</f>
        <v>113</v>
      </c>
      <c r="AL8" s="1">
        <v>847</v>
      </c>
      <c r="AM8" s="1">
        <v>4057</v>
      </c>
      <c r="AN8" s="1">
        <v>2002</v>
      </c>
      <c r="AO8" s="7">
        <f>23+52+24</f>
        <v>99</v>
      </c>
      <c r="AQ8" s="1">
        <v>3138</v>
      </c>
      <c r="AR8" s="1">
        <v>2544</v>
      </c>
      <c r="AS8" s="1">
        <v>3567</v>
      </c>
      <c r="AT8" s="7">
        <f>37+30+19</f>
        <v>86</v>
      </c>
      <c r="AU8">
        <v>2</v>
      </c>
      <c r="AV8" s="1">
        <v>67</v>
      </c>
      <c r="AW8" s="1">
        <v>308</v>
      </c>
      <c r="AX8" s="1">
        <v>2834</v>
      </c>
      <c r="AY8" s="7">
        <f>126+12+96</f>
        <v>234</v>
      </c>
      <c r="AZ8">
        <v>1</v>
      </c>
      <c r="BA8" s="1">
        <v>365</v>
      </c>
      <c r="BB8" s="1">
        <v>2729</v>
      </c>
      <c r="BC8" s="1">
        <v>321</v>
      </c>
      <c r="BD8" s="7">
        <f>45+43+56</f>
        <v>144</v>
      </c>
      <c r="BE8">
        <v>2</v>
      </c>
      <c r="BF8" s="1">
        <v>56</v>
      </c>
      <c r="BG8" s="1">
        <v>75</v>
      </c>
      <c r="BH8" s="13">
        <v>219</v>
      </c>
      <c r="BI8" s="7">
        <f>80+49+26</f>
        <v>155</v>
      </c>
      <c r="BJ8">
        <f t="shared" si="0"/>
        <v>1495</v>
      </c>
    </row>
    <row r="9" spans="1:63" x14ac:dyDescent="0.25">
      <c r="A9" t="s">
        <v>20</v>
      </c>
      <c r="B9">
        <v>2</v>
      </c>
      <c r="C9" s="1">
        <v>2994</v>
      </c>
      <c r="D9" s="1">
        <v>865</v>
      </c>
      <c r="E9" s="1">
        <v>3988</v>
      </c>
      <c r="F9" s="7">
        <f>13+18+13</f>
        <v>44</v>
      </c>
      <c r="H9" s="1">
        <v>25</v>
      </c>
      <c r="I9" s="1">
        <v>4133</v>
      </c>
      <c r="J9" s="1">
        <v>4222</v>
      </c>
      <c r="K9" s="7">
        <f>22+12+10</f>
        <v>44</v>
      </c>
      <c r="L9">
        <v>2</v>
      </c>
      <c r="M9" s="1">
        <v>3930</v>
      </c>
      <c r="N9" s="1">
        <v>1991</v>
      </c>
      <c r="O9" s="1">
        <v>4097</v>
      </c>
      <c r="P9" s="7">
        <f>58+43+65</f>
        <v>166</v>
      </c>
      <c r="R9" s="1">
        <v>7</v>
      </c>
      <c r="S9" s="1">
        <v>53</v>
      </c>
      <c r="T9" s="13">
        <v>3941</v>
      </c>
      <c r="U9" s="7">
        <f>11+17+40</f>
        <v>68</v>
      </c>
      <c r="W9" s="1">
        <v>93</v>
      </c>
      <c r="X9" s="1">
        <v>877</v>
      </c>
      <c r="Y9" s="1">
        <v>2264</v>
      </c>
      <c r="Z9" s="7">
        <f>59+12+20</f>
        <v>91</v>
      </c>
      <c r="AB9" s="1">
        <v>73</v>
      </c>
      <c r="AC9" s="1">
        <v>2053</v>
      </c>
      <c r="AD9" s="1">
        <v>3687</v>
      </c>
      <c r="AE9" s="11">
        <f>14+33+8</f>
        <v>55</v>
      </c>
      <c r="AG9" s="1">
        <v>4376</v>
      </c>
      <c r="AH9" s="1">
        <v>3618</v>
      </c>
      <c r="AI9" s="1">
        <v>4377</v>
      </c>
      <c r="AJ9" s="7">
        <f>14+70+7</f>
        <v>91</v>
      </c>
      <c r="AL9" s="1">
        <v>360</v>
      </c>
      <c r="AM9" s="1">
        <v>568</v>
      </c>
      <c r="AN9" s="1">
        <v>753</v>
      </c>
      <c r="AO9" s="7">
        <f>57+23+31</f>
        <v>111</v>
      </c>
      <c r="AQ9" s="1">
        <v>63</v>
      </c>
      <c r="AR9" s="1">
        <v>117</v>
      </c>
      <c r="AS9" s="1">
        <v>128</v>
      </c>
      <c r="AT9" s="7">
        <f>56+8+52</f>
        <v>116</v>
      </c>
      <c r="AU9">
        <v>1</v>
      </c>
      <c r="AV9" s="1">
        <v>1</v>
      </c>
      <c r="AW9" s="1">
        <v>4216</v>
      </c>
      <c r="AX9" s="1">
        <v>2851</v>
      </c>
      <c r="AY9" s="7">
        <f>29+29+60</f>
        <v>118</v>
      </c>
      <c r="AZ9">
        <v>1</v>
      </c>
      <c r="BA9" s="1">
        <v>341</v>
      </c>
      <c r="BB9" s="1">
        <v>304</v>
      </c>
      <c r="BC9" s="1">
        <v>2559</v>
      </c>
      <c r="BD9" s="7">
        <f>98+10+60</f>
        <v>168</v>
      </c>
      <c r="BE9">
        <v>1</v>
      </c>
      <c r="BF9" s="1">
        <v>2016</v>
      </c>
      <c r="BG9" s="1">
        <v>1403</v>
      </c>
      <c r="BH9" s="1">
        <v>1089</v>
      </c>
      <c r="BI9" s="7">
        <f>48+61+29</f>
        <v>138</v>
      </c>
      <c r="BJ9">
        <f t="shared" si="0"/>
        <v>1119</v>
      </c>
    </row>
    <row r="10" spans="1:63" x14ac:dyDescent="0.25">
      <c r="A10" t="s">
        <v>21</v>
      </c>
      <c r="B10">
        <v>1</v>
      </c>
      <c r="C10" s="1">
        <v>2056</v>
      </c>
      <c r="D10" s="1">
        <v>2852</v>
      </c>
      <c r="E10" s="13">
        <v>1815</v>
      </c>
      <c r="F10" s="7">
        <f>95+60+35</f>
        <v>190</v>
      </c>
      <c r="H10" s="1">
        <v>79</v>
      </c>
      <c r="I10" s="1">
        <v>945</v>
      </c>
      <c r="J10" s="1">
        <v>1523</v>
      </c>
      <c r="K10" s="7">
        <f>29+22+42</f>
        <v>93</v>
      </c>
      <c r="L10">
        <v>2</v>
      </c>
      <c r="M10" s="1">
        <v>230</v>
      </c>
      <c r="N10" s="1">
        <v>1884</v>
      </c>
      <c r="O10" s="1">
        <v>558</v>
      </c>
      <c r="P10" s="7">
        <f>35+59+30</f>
        <v>124</v>
      </c>
      <c r="R10" s="1">
        <v>623</v>
      </c>
      <c r="S10" s="1">
        <v>1111</v>
      </c>
      <c r="T10" s="1">
        <v>533</v>
      </c>
      <c r="U10" s="7">
        <f>15+29+10</f>
        <v>54</v>
      </c>
      <c r="W10" s="1">
        <v>2062</v>
      </c>
      <c r="X10" s="1">
        <v>2052</v>
      </c>
      <c r="Y10" s="1">
        <v>4054</v>
      </c>
      <c r="Z10" s="7">
        <f>28+79+26</f>
        <v>133</v>
      </c>
      <c r="AB10" s="1">
        <v>191</v>
      </c>
      <c r="AC10" s="1">
        <v>3157</v>
      </c>
      <c r="AD10" s="1">
        <v>4093</v>
      </c>
      <c r="AE10" s="11">
        <f>85+16+33</f>
        <v>134</v>
      </c>
      <c r="AG10" s="1">
        <v>66</v>
      </c>
      <c r="AH10" s="1">
        <v>3234</v>
      </c>
      <c r="AI10" s="1">
        <v>4363</v>
      </c>
      <c r="AJ10" s="7">
        <f>64+87+32</f>
        <v>183</v>
      </c>
      <c r="AL10" s="1">
        <v>2990</v>
      </c>
      <c r="AM10" s="1">
        <v>997</v>
      </c>
      <c r="AN10" s="1">
        <v>2550</v>
      </c>
      <c r="AO10" s="7">
        <f>13+21+6</f>
        <v>40</v>
      </c>
      <c r="AQ10" s="1">
        <v>1503</v>
      </c>
      <c r="AR10" s="1">
        <v>2614</v>
      </c>
      <c r="AS10" s="1">
        <v>3955</v>
      </c>
      <c r="AT10" s="7">
        <f>22+91+8</f>
        <v>121</v>
      </c>
      <c r="AU10">
        <v>2</v>
      </c>
      <c r="AV10" s="1">
        <v>1</v>
      </c>
      <c r="AW10" s="1">
        <v>503</v>
      </c>
      <c r="AX10" s="1">
        <v>4044</v>
      </c>
      <c r="AY10" s="7">
        <f>29+60+25</f>
        <v>114</v>
      </c>
      <c r="AZ10">
        <v>1</v>
      </c>
      <c r="BA10" s="1">
        <v>1218</v>
      </c>
      <c r="BB10" s="1">
        <v>3123</v>
      </c>
      <c r="BC10" s="1">
        <v>3974</v>
      </c>
      <c r="BD10" s="7">
        <f>101+30+41</f>
        <v>172</v>
      </c>
      <c r="BE10">
        <v>2</v>
      </c>
      <c r="BF10" s="1">
        <v>1089</v>
      </c>
      <c r="BG10" s="1">
        <v>1626</v>
      </c>
      <c r="BH10" s="1">
        <v>4128</v>
      </c>
      <c r="BI10" s="7">
        <f>29+35+23</f>
        <v>87</v>
      </c>
      <c r="BJ10">
        <f t="shared" si="0"/>
        <v>1262</v>
      </c>
    </row>
    <row r="11" spans="1:63" x14ac:dyDescent="0.25">
      <c r="A11" t="s">
        <v>22</v>
      </c>
      <c r="B11">
        <v>1</v>
      </c>
      <c r="C11" s="1">
        <v>188</v>
      </c>
      <c r="D11" s="1">
        <v>1075</v>
      </c>
      <c r="E11" s="1">
        <v>4252</v>
      </c>
      <c r="F11" s="7">
        <f>69+24+30</f>
        <v>123</v>
      </c>
      <c r="H11" s="1">
        <v>1902</v>
      </c>
      <c r="I11" s="1">
        <v>1251</v>
      </c>
      <c r="J11" s="1">
        <v>2916</v>
      </c>
      <c r="K11" s="7">
        <f>32+30+13</f>
        <v>75</v>
      </c>
      <c r="L11">
        <v>1</v>
      </c>
      <c r="M11" s="1">
        <v>2370</v>
      </c>
      <c r="N11" s="1">
        <v>4041</v>
      </c>
      <c r="O11" s="1">
        <v>4097</v>
      </c>
      <c r="P11" s="7">
        <f>22+17+65</f>
        <v>104</v>
      </c>
      <c r="R11" s="1">
        <v>27</v>
      </c>
      <c r="S11" s="1">
        <v>449</v>
      </c>
      <c r="T11" s="1">
        <v>1195</v>
      </c>
      <c r="U11" s="7">
        <f>96+41+2</f>
        <v>139</v>
      </c>
      <c r="W11" s="1">
        <v>2177</v>
      </c>
      <c r="X11" s="1">
        <v>2530</v>
      </c>
      <c r="Y11" s="1">
        <v>4011</v>
      </c>
      <c r="Z11" s="7">
        <f>9+45+12</f>
        <v>66</v>
      </c>
      <c r="AB11" s="1">
        <v>1559</v>
      </c>
      <c r="AC11" s="1">
        <v>3015</v>
      </c>
      <c r="AD11" s="1">
        <v>2228</v>
      </c>
      <c r="AE11" s="11">
        <f>20+50+24</f>
        <v>94</v>
      </c>
      <c r="AG11" s="1">
        <v>3357</v>
      </c>
      <c r="AH11" s="1">
        <v>4003</v>
      </c>
      <c r="AI11" s="1">
        <v>1896</v>
      </c>
      <c r="AJ11" s="7">
        <f>64+104+13</f>
        <v>181</v>
      </c>
      <c r="AL11" s="1">
        <v>2733</v>
      </c>
      <c r="AM11" s="1">
        <v>957</v>
      </c>
      <c r="AN11" s="1">
        <v>4109</v>
      </c>
      <c r="AO11" s="7">
        <f>32+18+7</f>
        <v>57</v>
      </c>
      <c r="AQ11" s="1">
        <v>1533</v>
      </c>
      <c r="AR11" s="1">
        <v>3260</v>
      </c>
      <c r="AS11" s="1">
        <v>2618</v>
      </c>
      <c r="AT11" s="7">
        <f>40+14+7</f>
        <v>61</v>
      </c>
      <c r="AU11">
        <v>2</v>
      </c>
      <c r="AV11" s="1">
        <v>3539</v>
      </c>
      <c r="AW11" s="1">
        <v>2619</v>
      </c>
      <c r="AX11" s="1">
        <v>4216</v>
      </c>
      <c r="AY11" s="7">
        <f>50+29+29</f>
        <v>108</v>
      </c>
      <c r="AZ11">
        <v>2</v>
      </c>
      <c r="BA11" s="1">
        <v>433</v>
      </c>
      <c r="BB11" s="1">
        <v>3929</v>
      </c>
      <c r="BC11" s="1">
        <v>3974</v>
      </c>
      <c r="BD11" s="7">
        <f>73+50+41</f>
        <v>164</v>
      </c>
      <c r="BE11">
        <v>1</v>
      </c>
      <c r="BF11" s="1">
        <v>303</v>
      </c>
      <c r="BG11" s="1">
        <v>1626</v>
      </c>
      <c r="BH11" s="1">
        <v>3637</v>
      </c>
      <c r="BI11" s="7">
        <f>16+35+22</f>
        <v>73</v>
      </c>
      <c r="BJ11">
        <f t="shared" si="0"/>
        <v>1064</v>
      </c>
    </row>
    <row r="12" spans="1:63" x14ac:dyDescent="0.25">
      <c r="A12" t="s">
        <v>23</v>
      </c>
      <c r="B12">
        <v>1</v>
      </c>
      <c r="C12" s="1">
        <v>1114</v>
      </c>
      <c r="D12" s="1">
        <v>907</v>
      </c>
      <c r="E12" s="1">
        <v>1246</v>
      </c>
      <c r="F12" s="7">
        <f>145+38+14</f>
        <v>197</v>
      </c>
      <c r="H12" s="1">
        <v>1557</v>
      </c>
      <c r="I12" s="1">
        <v>21</v>
      </c>
      <c r="J12" s="1">
        <v>4197</v>
      </c>
      <c r="K12" s="7">
        <f>22+25+12</f>
        <v>59</v>
      </c>
      <c r="L12">
        <v>1</v>
      </c>
      <c r="M12" s="1">
        <v>228</v>
      </c>
      <c r="N12" s="1">
        <v>2877</v>
      </c>
      <c r="O12" s="1">
        <v>2648</v>
      </c>
      <c r="P12" s="7">
        <f>66+16+65</f>
        <v>147</v>
      </c>
      <c r="R12" s="1">
        <v>192</v>
      </c>
      <c r="S12" s="1">
        <v>288</v>
      </c>
      <c r="T12" s="1">
        <v>686</v>
      </c>
      <c r="U12" s="7">
        <f>78+6+24</f>
        <v>108</v>
      </c>
      <c r="W12" s="1">
        <v>3747</v>
      </c>
      <c r="X12" s="1">
        <v>2506</v>
      </c>
      <c r="Y12" s="1">
        <v>3061</v>
      </c>
      <c r="Z12" s="7">
        <f>26+16+12</f>
        <v>54</v>
      </c>
      <c r="AB12" s="1">
        <v>378</v>
      </c>
      <c r="AC12" s="1">
        <v>1518</v>
      </c>
      <c r="AD12" s="1">
        <v>1450</v>
      </c>
      <c r="AE12" s="11">
        <f>27+18+10</f>
        <v>55</v>
      </c>
      <c r="AG12" s="1">
        <v>904</v>
      </c>
      <c r="AH12" s="1">
        <v>857</v>
      </c>
      <c r="AI12" s="13">
        <v>3767</v>
      </c>
      <c r="AJ12" s="7">
        <f>24+15+14</f>
        <v>53</v>
      </c>
      <c r="AL12" s="1">
        <v>1983</v>
      </c>
      <c r="AM12" s="1">
        <v>1359</v>
      </c>
      <c r="AN12" s="1">
        <v>1700</v>
      </c>
      <c r="AO12" s="7">
        <f>86+12+28</f>
        <v>126</v>
      </c>
      <c r="AQ12" s="1">
        <v>279</v>
      </c>
      <c r="AR12" s="1">
        <v>1708</v>
      </c>
      <c r="AS12" s="1">
        <v>4027</v>
      </c>
      <c r="AT12" s="7">
        <f>34+16+30</f>
        <v>80</v>
      </c>
      <c r="AU12">
        <v>1</v>
      </c>
      <c r="AV12" s="1">
        <v>68</v>
      </c>
      <c r="AW12" s="1">
        <v>1188</v>
      </c>
      <c r="AX12" s="1">
        <v>1025</v>
      </c>
      <c r="AY12" s="7">
        <f>28+20+50</f>
        <v>98</v>
      </c>
      <c r="AZ12">
        <v>1</v>
      </c>
      <c r="BA12" s="1">
        <v>316</v>
      </c>
      <c r="BB12" s="1">
        <v>486</v>
      </c>
      <c r="BC12" s="1">
        <v>3553</v>
      </c>
      <c r="BD12" s="7">
        <f>39+73+4</f>
        <v>116</v>
      </c>
      <c r="BE12">
        <v>1</v>
      </c>
      <c r="BF12" s="1">
        <v>102</v>
      </c>
      <c r="BG12" s="1">
        <v>75</v>
      </c>
      <c r="BH12" s="1">
        <v>4128</v>
      </c>
      <c r="BI12" s="7">
        <f>12+49+23</f>
        <v>84</v>
      </c>
      <c r="BJ12">
        <f t="shared" si="0"/>
        <v>1124</v>
      </c>
    </row>
    <row r="13" spans="1:63" x14ac:dyDescent="0.25">
      <c r="A13" t="s">
        <v>24</v>
      </c>
      <c r="B13">
        <v>1</v>
      </c>
      <c r="C13" s="1">
        <v>1241</v>
      </c>
      <c r="D13" s="1">
        <v>1547</v>
      </c>
      <c r="E13" s="1">
        <v>3360</v>
      </c>
      <c r="F13" s="7">
        <f>33+21+45</f>
        <v>99</v>
      </c>
      <c r="H13" s="1">
        <v>108</v>
      </c>
      <c r="I13" s="1">
        <v>386</v>
      </c>
      <c r="J13" s="1">
        <v>1612</v>
      </c>
      <c r="K13" s="7">
        <f>23+14+11</f>
        <v>48</v>
      </c>
      <c r="L13">
        <v>1</v>
      </c>
      <c r="M13" s="1">
        <v>230</v>
      </c>
      <c r="N13" s="1">
        <v>1884</v>
      </c>
      <c r="O13" s="1">
        <v>190</v>
      </c>
      <c r="P13" s="7">
        <f>35+59+56</f>
        <v>150</v>
      </c>
      <c r="R13" s="1">
        <v>237</v>
      </c>
      <c r="S13" s="1">
        <v>2534</v>
      </c>
      <c r="T13" s="1">
        <v>1980</v>
      </c>
      <c r="U13" s="7">
        <f>23+25+6</f>
        <v>54</v>
      </c>
      <c r="W13" s="1">
        <v>1625</v>
      </c>
      <c r="X13" s="1">
        <v>2574</v>
      </c>
      <c r="Y13" s="1">
        <v>3381</v>
      </c>
      <c r="Z13" s="7">
        <f>38+12+13</f>
        <v>63</v>
      </c>
      <c r="AB13" s="1">
        <v>145</v>
      </c>
      <c r="AC13" s="1">
        <v>3799</v>
      </c>
      <c r="AD13" s="1">
        <v>1551</v>
      </c>
      <c r="AE13" s="11">
        <f>16+10+39</f>
        <v>65</v>
      </c>
      <c r="AG13" s="1">
        <v>3603</v>
      </c>
      <c r="AH13" s="1">
        <v>4392</v>
      </c>
      <c r="AI13" s="1">
        <v>2153</v>
      </c>
      <c r="AJ13" s="7">
        <f>9+37+9</f>
        <v>55</v>
      </c>
      <c r="AL13" s="1">
        <v>2437</v>
      </c>
      <c r="AM13" s="1">
        <v>2130</v>
      </c>
      <c r="AN13" s="1">
        <v>2898</v>
      </c>
      <c r="AO13" s="7">
        <f>10+93+18</f>
        <v>121</v>
      </c>
      <c r="AQ13" s="1">
        <v>48</v>
      </c>
      <c r="AR13" s="1">
        <v>4031</v>
      </c>
      <c r="AS13" s="1">
        <v>3962</v>
      </c>
      <c r="AT13" s="7">
        <f>140+40+23</f>
        <v>203</v>
      </c>
      <c r="AU13">
        <v>1</v>
      </c>
      <c r="AV13" s="1">
        <v>67</v>
      </c>
      <c r="AW13" s="1">
        <v>2834</v>
      </c>
      <c r="AX13" s="1">
        <v>3539</v>
      </c>
      <c r="AY13" s="7">
        <f>126+96+50</f>
        <v>272</v>
      </c>
      <c r="AZ13">
        <v>2</v>
      </c>
      <c r="BA13" s="1">
        <v>341</v>
      </c>
      <c r="BB13" s="1">
        <v>225</v>
      </c>
      <c r="BC13" s="1">
        <v>2539</v>
      </c>
      <c r="BD13" s="7">
        <f>98+48+28</f>
        <v>174</v>
      </c>
      <c r="BE13">
        <v>1</v>
      </c>
      <c r="BF13" s="1">
        <v>11</v>
      </c>
      <c r="BG13" s="1">
        <v>3142</v>
      </c>
      <c r="BH13" s="1">
        <v>1302</v>
      </c>
      <c r="BI13" s="7">
        <f>61+44+44</f>
        <v>149</v>
      </c>
      <c r="BJ13">
        <f t="shared" si="0"/>
        <v>1398</v>
      </c>
    </row>
    <row r="14" spans="1:63" x14ac:dyDescent="0.25">
      <c r="A14" t="s">
        <v>25</v>
      </c>
      <c r="B14">
        <v>1</v>
      </c>
      <c r="C14" s="1">
        <v>781</v>
      </c>
      <c r="D14" s="1">
        <v>2809</v>
      </c>
      <c r="E14" s="1">
        <v>3988</v>
      </c>
      <c r="F14" s="8">
        <f>44+72+13</f>
        <v>129</v>
      </c>
      <c r="H14" s="1">
        <v>3132</v>
      </c>
      <c r="I14" s="1">
        <v>342</v>
      </c>
      <c r="J14" s="1">
        <v>4024</v>
      </c>
      <c r="K14" s="8">
        <f>55+31+8</f>
        <v>94</v>
      </c>
      <c r="L14">
        <v>2</v>
      </c>
      <c r="M14" s="1">
        <v>228</v>
      </c>
      <c r="N14" s="1">
        <v>4041</v>
      </c>
      <c r="O14" s="1">
        <v>246</v>
      </c>
      <c r="P14" s="8">
        <f>66+17+26</f>
        <v>109</v>
      </c>
      <c r="R14" s="1">
        <v>217</v>
      </c>
      <c r="S14" s="1">
        <v>2265</v>
      </c>
      <c r="T14" s="1">
        <v>4288</v>
      </c>
      <c r="U14" s="8">
        <f>40+8+18</f>
        <v>66</v>
      </c>
      <c r="W14" s="1">
        <v>2169</v>
      </c>
      <c r="X14" s="1">
        <v>4181</v>
      </c>
      <c r="Y14" s="1">
        <v>2846</v>
      </c>
      <c r="Z14" s="8">
        <f>120+7+24</f>
        <v>151</v>
      </c>
      <c r="AB14" s="1">
        <v>250</v>
      </c>
      <c r="AC14" s="1">
        <v>229</v>
      </c>
      <c r="AD14" s="1">
        <v>2340</v>
      </c>
      <c r="AE14" s="12">
        <f>24+38+12</f>
        <v>74</v>
      </c>
      <c r="AG14" s="1">
        <v>1711</v>
      </c>
      <c r="AH14" s="1">
        <v>3617</v>
      </c>
      <c r="AI14" s="1">
        <v>1596</v>
      </c>
      <c r="AJ14" s="8">
        <f>61+33+15</f>
        <v>109</v>
      </c>
      <c r="AL14" s="1">
        <v>1425</v>
      </c>
      <c r="AM14" s="1">
        <v>841</v>
      </c>
      <c r="AN14" s="1">
        <v>4043</v>
      </c>
      <c r="AO14" s="8">
        <f>35+11+25</f>
        <v>71</v>
      </c>
      <c r="AQ14" s="1">
        <v>379</v>
      </c>
      <c r="AR14" s="1">
        <v>620</v>
      </c>
      <c r="AS14" s="1">
        <v>4289</v>
      </c>
      <c r="AT14" s="8">
        <f>60+29+8</f>
        <v>97</v>
      </c>
      <c r="AU14">
        <v>1</v>
      </c>
      <c r="AV14" s="1">
        <v>247</v>
      </c>
      <c r="AW14" s="1">
        <v>4044</v>
      </c>
      <c r="AX14" s="1">
        <v>3547</v>
      </c>
      <c r="AY14" s="8">
        <f>52+25+20</f>
        <v>97</v>
      </c>
      <c r="AZ14">
        <v>1</v>
      </c>
      <c r="BA14" s="1">
        <v>433</v>
      </c>
      <c r="BB14" s="1">
        <v>357</v>
      </c>
      <c r="BC14" s="1">
        <v>4035</v>
      </c>
      <c r="BD14" s="8">
        <f>73+35+18</f>
        <v>126</v>
      </c>
      <c r="BE14">
        <v>2</v>
      </c>
      <c r="BF14" s="1">
        <v>303</v>
      </c>
      <c r="BG14" s="1">
        <v>4281</v>
      </c>
      <c r="BH14" s="1">
        <v>223</v>
      </c>
      <c r="BI14" s="8">
        <f>16+20+26</f>
        <v>62</v>
      </c>
      <c r="BJ14">
        <f t="shared" si="0"/>
        <v>1076</v>
      </c>
    </row>
    <row r="15" spans="1:63" x14ac:dyDescent="0.25">
      <c r="T15" s="1"/>
    </row>
  </sheetData>
  <mergeCells count="12">
    <mergeCell ref="AK1:AO1"/>
    <mergeCell ref="AP1:AT1"/>
    <mergeCell ref="AU1:AY1"/>
    <mergeCell ref="BE1:BI1"/>
    <mergeCell ref="AZ1:BD1"/>
    <mergeCell ref="AF1:AJ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7"/>
  <sheetViews>
    <sheetView zoomScaleNormal="100" workbookViewId="0">
      <pane xSplit="1" topLeftCell="R1" activePane="topRight" state="frozen"/>
      <selection pane="topRight" activeCell="X11" sqref="X11"/>
    </sheetView>
  </sheetViews>
  <sheetFormatPr defaultRowHeight="15" x14ac:dyDescent="0.25"/>
  <cols>
    <col min="1" max="1" width="9.42578125" customWidth="1"/>
  </cols>
  <sheetData>
    <row r="1" spans="1:61" x14ac:dyDescent="0.25">
      <c r="B1" s="19" t="s">
        <v>49</v>
      </c>
      <c r="C1" s="19"/>
      <c r="D1" s="19"/>
      <c r="E1" s="19"/>
      <c r="F1" s="19"/>
      <c r="G1" s="19" t="s">
        <v>50</v>
      </c>
      <c r="H1" s="19"/>
      <c r="I1" s="19"/>
      <c r="J1" s="19"/>
      <c r="K1" s="19"/>
      <c r="L1" s="19" t="s">
        <v>51</v>
      </c>
      <c r="M1" s="19"/>
      <c r="N1" s="19"/>
      <c r="O1" s="19"/>
      <c r="P1" s="19"/>
      <c r="Q1" s="19" t="s">
        <v>52</v>
      </c>
      <c r="R1" s="19"/>
      <c r="S1" s="19"/>
      <c r="T1" s="19"/>
      <c r="U1" s="19"/>
      <c r="V1" s="19" t="s">
        <v>53</v>
      </c>
      <c r="W1" s="19"/>
      <c r="X1" s="19"/>
      <c r="Y1" s="19"/>
      <c r="Z1" s="19"/>
      <c r="AA1" s="19" t="s">
        <v>54</v>
      </c>
      <c r="AB1" s="19"/>
      <c r="AC1" s="19"/>
      <c r="AD1" s="19"/>
      <c r="AE1" s="19"/>
      <c r="AF1" s="19" t="s">
        <v>55</v>
      </c>
      <c r="AG1" s="19"/>
      <c r="AH1" s="19"/>
      <c r="AI1" s="19"/>
      <c r="AJ1" s="19"/>
      <c r="AK1" s="19" t="s">
        <v>105</v>
      </c>
      <c r="AL1" s="19"/>
      <c r="AM1" s="19"/>
      <c r="AN1" s="19"/>
      <c r="AO1" s="19"/>
      <c r="AP1" s="19" t="s">
        <v>56</v>
      </c>
      <c r="AQ1" s="19"/>
      <c r="AR1" s="19"/>
      <c r="AS1" s="19"/>
      <c r="AT1" s="19"/>
      <c r="AU1" s="19" t="s">
        <v>57</v>
      </c>
      <c r="AV1" s="19"/>
      <c r="AW1" s="19"/>
      <c r="AX1" s="19"/>
      <c r="AY1" s="19"/>
      <c r="AZ1" s="19" t="s">
        <v>58</v>
      </c>
      <c r="BA1" s="19"/>
      <c r="BB1" s="19"/>
      <c r="BC1" s="19"/>
      <c r="BD1" s="19"/>
      <c r="BE1" s="2" t="s">
        <v>59</v>
      </c>
      <c r="BF1" s="2"/>
      <c r="BG1" s="2"/>
      <c r="BH1" s="2"/>
      <c r="BI1" s="2"/>
    </row>
    <row r="2" spans="1:6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2</v>
      </c>
      <c r="AG2" t="s">
        <v>3</v>
      </c>
      <c r="AH2" t="s">
        <v>4</v>
      </c>
      <c r="AI2" t="s">
        <v>5</v>
      </c>
      <c r="AJ2" t="s">
        <v>27</v>
      </c>
      <c r="AK2" t="s">
        <v>2</v>
      </c>
      <c r="AL2" t="s">
        <v>3</v>
      </c>
      <c r="AM2" t="s">
        <v>4</v>
      </c>
      <c r="AN2" t="s">
        <v>5</v>
      </c>
      <c r="AO2" t="s">
        <v>27</v>
      </c>
      <c r="AP2" t="s">
        <v>2</v>
      </c>
      <c r="AQ2" t="s">
        <v>3</v>
      </c>
      <c r="AR2" t="s">
        <v>4</v>
      </c>
      <c r="AS2" t="s">
        <v>5</v>
      </c>
      <c r="AT2" t="s">
        <v>27</v>
      </c>
      <c r="AU2" t="s">
        <v>2</v>
      </c>
      <c r="AV2" t="s">
        <v>3</v>
      </c>
      <c r="AW2" t="s">
        <v>4</v>
      </c>
      <c r="AX2" t="s">
        <v>5</v>
      </c>
      <c r="AY2" t="s">
        <v>27</v>
      </c>
      <c r="AZ2" t="s">
        <v>2</v>
      </c>
      <c r="BA2" t="s">
        <v>3</v>
      </c>
      <c r="BB2" t="s">
        <v>4</v>
      </c>
      <c r="BC2" t="s">
        <v>5</v>
      </c>
      <c r="BD2" t="s">
        <v>27</v>
      </c>
    </row>
    <row r="3" spans="1:61" x14ac:dyDescent="0.25">
      <c r="A3" t="s">
        <v>14</v>
      </c>
      <c r="C3" s="1">
        <v>364</v>
      </c>
      <c r="D3" s="13">
        <v>4113</v>
      </c>
      <c r="E3" s="1">
        <v>4316</v>
      </c>
      <c r="F3" s="6">
        <f>31+0+45</f>
        <v>76</v>
      </c>
      <c r="H3" s="1">
        <v>135</v>
      </c>
      <c r="I3" s="1">
        <v>1018</v>
      </c>
      <c r="J3" s="1">
        <v>1756</v>
      </c>
      <c r="K3" s="6">
        <f>36+16+94</f>
        <v>146</v>
      </c>
      <c r="L3">
        <v>1</v>
      </c>
      <c r="M3" s="1">
        <v>4167</v>
      </c>
      <c r="N3" s="1">
        <v>4062</v>
      </c>
      <c r="O3" s="1">
        <v>4007</v>
      </c>
      <c r="P3" s="6">
        <f>20+19+5</f>
        <v>44</v>
      </c>
      <c r="Q3">
        <v>2</v>
      </c>
      <c r="R3" s="1">
        <v>4185</v>
      </c>
      <c r="S3" s="1">
        <v>3970</v>
      </c>
      <c r="T3" s="1">
        <v>3717</v>
      </c>
      <c r="U3" s="6">
        <f>34+64+12</f>
        <v>110</v>
      </c>
      <c r="W3" s="1">
        <v>1717</v>
      </c>
      <c r="X3" s="1">
        <v>4345</v>
      </c>
      <c r="Y3" s="1">
        <v>4201</v>
      </c>
      <c r="Z3" s="6">
        <f>75+8+37</f>
        <v>120</v>
      </c>
      <c r="AB3" s="1">
        <v>832</v>
      </c>
      <c r="AC3" s="1">
        <v>4323</v>
      </c>
      <c r="AD3" s="1">
        <v>4287</v>
      </c>
      <c r="AE3" s="6">
        <f>32+26+5</f>
        <v>63</v>
      </c>
      <c r="AG3" s="1">
        <v>4344</v>
      </c>
      <c r="AH3" s="1">
        <v>3243</v>
      </c>
      <c r="AI3" s="1">
        <v>2484</v>
      </c>
      <c r="AJ3" s="6">
        <f>10+11+46</f>
        <v>67</v>
      </c>
      <c r="AL3" s="1">
        <v>339</v>
      </c>
      <c r="AM3" s="1">
        <v>1895</v>
      </c>
      <c r="AN3" s="1">
        <v>4273</v>
      </c>
      <c r="AO3" s="6">
        <f>12+56+9</f>
        <v>77</v>
      </c>
      <c r="AQ3" s="1">
        <v>2016</v>
      </c>
      <c r="AR3" s="1">
        <v>1860</v>
      </c>
      <c r="AS3" s="1">
        <v>759</v>
      </c>
      <c r="AT3" s="6">
        <f>18+15+9</f>
        <v>42</v>
      </c>
      <c r="AV3" s="1">
        <v>2054</v>
      </c>
      <c r="AW3" s="1">
        <v>3640</v>
      </c>
      <c r="AX3" s="1">
        <v>3458</v>
      </c>
      <c r="AY3" s="6">
        <f>91+32+18</f>
        <v>141</v>
      </c>
      <c r="BA3" s="1">
        <v>1701</v>
      </c>
      <c r="BB3" s="1">
        <v>123</v>
      </c>
      <c r="BC3" s="1">
        <v>313</v>
      </c>
      <c r="BD3" s="6">
        <f>24+72+46</f>
        <v>142</v>
      </c>
      <c r="BE3">
        <f t="shared" ref="BE3:BE5" si="0">SUM(F3,K3,P3,U3,Z3,AE3,AJ3,AO3,AT3,AY3,BD3)</f>
        <v>1028</v>
      </c>
    </row>
    <row r="4" spans="1:61" x14ac:dyDescent="0.25">
      <c r="A4" t="s">
        <v>15</v>
      </c>
      <c r="C4" s="1">
        <v>456</v>
      </c>
      <c r="D4" s="1">
        <v>3666</v>
      </c>
      <c r="E4" s="1">
        <v>3606</v>
      </c>
      <c r="F4" s="7">
        <f>26+18+11</f>
        <v>55</v>
      </c>
      <c r="H4" s="1">
        <v>1501</v>
      </c>
      <c r="I4" s="1">
        <v>1741</v>
      </c>
      <c r="J4" s="1">
        <v>3559</v>
      </c>
      <c r="K4" s="7">
        <f>94+16+37</f>
        <v>147</v>
      </c>
      <c r="L4">
        <v>2</v>
      </c>
      <c r="M4" s="1">
        <v>1517</v>
      </c>
      <c r="N4" s="1">
        <v>2590</v>
      </c>
      <c r="O4" s="1">
        <v>3117</v>
      </c>
      <c r="P4" s="7">
        <f>54+76+38</f>
        <v>168</v>
      </c>
      <c r="Q4">
        <v>2</v>
      </c>
      <c r="R4" s="1">
        <v>971</v>
      </c>
      <c r="S4" s="1">
        <v>1388</v>
      </c>
      <c r="T4" s="1">
        <v>1280</v>
      </c>
      <c r="U4" s="7">
        <f>78+32+31</f>
        <v>141</v>
      </c>
      <c r="W4" s="1">
        <v>330</v>
      </c>
      <c r="X4" s="1">
        <v>3925</v>
      </c>
      <c r="Y4" s="1">
        <v>4046</v>
      </c>
      <c r="Z4" s="7">
        <f>46+30+17</f>
        <v>93</v>
      </c>
      <c r="AB4" s="1">
        <v>34</v>
      </c>
      <c r="AC4" s="1">
        <v>2918</v>
      </c>
      <c r="AD4" s="1">
        <v>2815</v>
      </c>
      <c r="AE4" s="7">
        <f>42+15+15</f>
        <v>72</v>
      </c>
      <c r="AG4" s="13">
        <v>3374</v>
      </c>
      <c r="AH4" s="1">
        <v>3405</v>
      </c>
      <c r="AI4" s="1">
        <v>3716</v>
      </c>
      <c r="AJ4" s="7">
        <f>12+12+21</f>
        <v>45</v>
      </c>
      <c r="AL4" s="1">
        <v>346</v>
      </c>
      <c r="AM4" s="1">
        <v>1095</v>
      </c>
      <c r="AN4" s="1">
        <v>3136</v>
      </c>
      <c r="AO4" s="7">
        <f>82+11+10</f>
        <v>103</v>
      </c>
      <c r="AQ4" s="1">
        <v>1279</v>
      </c>
      <c r="AR4" s="1">
        <v>522</v>
      </c>
      <c r="AS4" s="1">
        <v>870</v>
      </c>
      <c r="AT4" s="7">
        <f>53+52+12</f>
        <v>117</v>
      </c>
      <c r="AV4" s="1">
        <v>3357</v>
      </c>
      <c r="AW4" s="1">
        <v>3572</v>
      </c>
      <c r="AX4" s="1">
        <v>3658</v>
      </c>
      <c r="AY4" s="7">
        <f>37+28+24</f>
        <v>89</v>
      </c>
      <c r="BA4" s="1">
        <v>4002</v>
      </c>
      <c r="BB4" s="1">
        <v>4380</v>
      </c>
      <c r="BC4" s="1">
        <v>3115</v>
      </c>
      <c r="BD4" s="7">
        <f>28+34+33</f>
        <v>95</v>
      </c>
      <c r="BE4">
        <f>SUM(F4,K4,P4,U4,Z4,AE4,AJ4,AO4,AT4,AY4,BD4)</f>
        <v>1125</v>
      </c>
    </row>
    <row r="5" spans="1:61" x14ac:dyDescent="0.25">
      <c r="A5" t="s">
        <v>16</v>
      </c>
      <c r="C5" s="1">
        <v>1927</v>
      </c>
      <c r="D5" s="1">
        <v>2221</v>
      </c>
      <c r="E5" s="1">
        <v>3039</v>
      </c>
      <c r="F5" s="7">
        <f>24+18+40</f>
        <v>82</v>
      </c>
      <c r="H5" s="1">
        <v>461</v>
      </c>
      <c r="I5" s="1">
        <v>3176</v>
      </c>
      <c r="J5" s="1">
        <v>1646</v>
      </c>
      <c r="K5" s="7">
        <f>36+18+20</f>
        <v>74</v>
      </c>
      <c r="L5">
        <v>1</v>
      </c>
      <c r="M5" s="1">
        <v>176</v>
      </c>
      <c r="N5" s="1">
        <v>3990</v>
      </c>
      <c r="O5" s="1">
        <v>3975</v>
      </c>
      <c r="P5" s="7">
        <f>90+82+33</f>
        <v>205</v>
      </c>
      <c r="Q5">
        <v>2</v>
      </c>
      <c r="R5" s="1">
        <v>8</v>
      </c>
      <c r="S5" s="1">
        <v>1458</v>
      </c>
      <c r="T5" s="1">
        <v>1351</v>
      </c>
      <c r="U5" s="7">
        <f>20+16+12</f>
        <v>48</v>
      </c>
      <c r="W5" s="1">
        <v>3512</v>
      </c>
      <c r="X5" s="1">
        <v>4210</v>
      </c>
      <c r="Y5" s="1">
        <v>3851</v>
      </c>
      <c r="Z5" s="7">
        <f>60+4+15</f>
        <v>79</v>
      </c>
      <c r="AB5" s="1">
        <v>4148</v>
      </c>
      <c r="AC5" s="1">
        <v>2974</v>
      </c>
      <c r="AD5" s="1">
        <v>2415</v>
      </c>
      <c r="AE5" s="7">
        <f>16+57+69</f>
        <v>142</v>
      </c>
      <c r="AG5" s="1">
        <v>2594</v>
      </c>
      <c r="AH5" s="1">
        <v>2789</v>
      </c>
      <c r="AI5" s="1">
        <v>3245</v>
      </c>
      <c r="AJ5" s="7">
        <f>8+47+65</f>
        <v>120</v>
      </c>
      <c r="AL5" s="1">
        <v>2363</v>
      </c>
      <c r="AM5" s="1">
        <v>900</v>
      </c>
      <c r="AN5" s="1">
        <v>1137</v>
      </c>
      <c r="AO5" s="7">
        <f>28+16+14</f>
        <v>58</v>
      </c>
      <c r="AQ5" s="1">
        <v>4071</v>
      </c>
      <c r="AR5" s="1">
        <v>1155</v>
      </c>
      <c r="AS5" s="1">
        <v>1796</v>
      </c>
      <c r="AT5" s="7">
        <f>5+23+36</f>
        <v>64</v>
      </c>
      <c r="AV5" s="1">
        <v>2000</v>
      </c>
      <c r="AW5" s="1">
        <v>2767</v>
      </c>
      <c r="AX5" s="1">
        <v>2075</v>
      </c>
      <c r="AY5" s="7">
        <f>52+49+32</f>
        <v>133</v>
      </c>
      <c r="BA5" s="1">
        <v>51</v>
      </c>
      <c r="BB5" s="1">
        <v>1504</v>
      </c>
      <c r="BC5" s="1">
        <v>818</v>
      </c>
      <c r="BD5" s="7">
        <f>67+67+27</f>
        <v>161</v>
      </c>
      <c r="BE5">
        <f t="shared" si="0"/>
        <v>1166</v>
      </c>
    </row>
    <row r="6" spans="1:61" x14ac:dyDescent="0.25">
      <c r="A6" t="s">
        <v>17</v>
      </c>
      <c r="C6" s="1">
        <v>2992</v>
      </c>
      <c r="D6" s="1">
        <v>2242</v>
      </c>
      <c r="E6" s="13">
        <v>4353</v>
      </c>
      <c r="F6" s="7">
        <f>72+11+0</f>
        <v>83</v>
      </c>
      <c r="H6" s="1">
        <v>3940</v>
      </c>
      <c r="I6" s="1">
        <v>4008</v>
      </c>
      <c r="J6" s="1">
        <v>829</v>
      </c>
      <c r="K6" s="7">
        <f>63+20+79</f>
        <v>162</v>
      </c>
      <c r="L6">
        <v>1</v>
      </c>
      <c r="M6" s="1">
        <v>173</v>
      </c>
      <c r="N6" s="1">
        <v>3117</v>
      </c>
      <c r="O6" s="1">
        <v>3550</v>
      </c>
      <c r="P6" s="7">
        <f>24+38+55</f>
        <v>117</v>
      </c>
      <c r="Q6">
        <v>1</v>
      </c>
      <c r="R6" s="1">
        <v>1280</v>
      </c>
      <c r="S6" s="1">
        <v>3970</v>
      </c>
      <c r="T6" s="1">
        <v>692</v>
      </c>
      <c r="U6" s="7">
        <f>31+64+19</f>
        <v>114</v>
      </c>
      <c r="W6" s="1">
        <v>973</v>
      </c>
      <c r="X6" s="1">
        <v>980</v>
      </c>
      <c r="Y6" s="1">
        <v>691</v>
      </c>
      <c r="Z6" s="7">
        <f>69+11+25</f>
        <v>105</v>
      </c>
      <c r="AB6" s="1">
        <v>1311</v>
      </c>
      <c r="AC6" s="1">
        <v>1683</v>
      </c>
      <c r="AD6" s="1">
        <v>4026</v>
      </c>
      <c r="AE6" s="7">
        <f>107+27+15</f>
        <v>149</v>
      </c>
      <c r="AG6" s="1">
        <v>1332</v>
      </c>
      <c r="AH6" s="1">
        <v>399</v>
      </c>
      <c r="AI6" s="1">
        <v>3288</v>
      </c>
      <c r="AJ6" s="7">
        <f>42+76+23</f>
        <v>141</v>
      </c>
      <c r="AL6" s="1">
        <v>388</v>
      </c>
      <c r="AM6" s="1">
        <v>1829</v>
      </c>
      <c r="AN6" s="1">
        <v>2988</v>
      </c>
      <c r="AO6" s="7">
        <f>16+9+18</f>
        <v>43</v>
      </c>
      <c r="AQ6" s="1">
        <v>2168</v>
      </c>
      <c r="AR6" s="1">
        <v>846</v>
      </c>
      <c r="AS6" s="1">
        <v>369</v>
      </c>
      <c r="AT6" s="7">
        <f>74+33+53</f>
        <v>160</v>
      </c>
      <c r="AV6" s="1">
        <v>141</v>
      </c>
      <c r="AW6" s="1">
        <v>288</v>
      </c>
      <c r="AX6" s="1">
        <v>4003</v>
      </c>
      <c r="AY6" s="7">
        <f>64+38+53</f>
        <v>155</v>
      </c>
      <c r="BA6" s="1">
        <v>326</v>
      </c>
      <c r="BB6" s="1">
        <v>280</v>
      </c>
      <c r="BC6" s="1">
        <v>314</v>
      </c>
      <c r="BD6" s="7">
        <f>55+24+54</f>
        <v>133</v>
      </c>
      <c r="BE6">
        <f t="shared" ref="BE6:BE14" si="1">SUM(F6,K6,P6,U6,Z6,AE6,AJ6,AO6,AT6,AY6,BD6)</f>
        <v>1362</v>
      </c>
    </row>
    <row r="7" spans="1:61" x14ac:dyDescent="0.25">
      <c r="A7" t="s">
        <v>18</v>
      </c>
      <c r="C7" s="1">
        <v>1912</v>
      </c>
      <c r="D7" s="1">
        <v>3411</v>
      </c>
      <c r="E7" s="1">
        <v>1477</v>
      </c>
      <c r="F7" s="7">
        <f>83+6+134</f>
        <v>223</v>
      </c>
      <c r="H7" s="1">
        <v>1024</v>
      </c>
      <c r="I7" s="1">
        <v>1720</v>
      </c>
      <c r="J7" s="1">
        <v>3814</v>
      </c>
      <c r="K7" s="7">
        <f>50+22+14</f>
        <v>86</v>
      </c>
      <c r="L7">
        <v>1</v>
      </c>
      <c r="M7" s="1">
        <v>3533</v>
      </c>
      <c r="N7" s="1">
        <v>2626</v>
      </c>
      <c r="O7" s="1">
        <v>3382</v>
      </c>
      <c r="P7" s="7">
        <f>23+81+10</f>
        <v>114</v>
      </c>
      <c r="Q7">
        <v>1</v>
      </c>
      <c r="R7" s="1">
        <v>971</v>
      </c>
      <c r="S7" s="1">
        <v>1678</v>
      </c>
      <c r="T7" s="1">
        <v>766</v>
      </c>
      <c r="U7" s="7">
        <f>78+112+15</f>
        <v>205</v>
      </c>
      <c r="W7" s="1">
        <v>2429</v>
      </c>
      <c r="X7" s="1">
        <v>4</v>
      </c>
      <c r="Y7" s="1">
        <v>995</v>
      </c>
      <c r="Z7" s="7">
        <f>2+8+19</f>
        <v>29</v>
      </c>
      <c r="AB7" s="1">
        <v>343</v>
      </c>
      <c r="AC7" s="1">
        <v>3139</v>
      </c>
      <c r="AD7" s="1">
        <v>4149</v>
      </c>
      <c r="AE7" s="7">
        <f>38+16+6</f>
        <v>60</v>
      </c>
      <c r="AG7" s="1">
        <v>1891</v>
      </c>
      <c r="AH7" s="1">
        <v>2403</v>
      </c>
      <c r="AI7" s="13">
        <v>3334</v>
      </c>
      <c r="AJ7" s="7">
        <f>26+63+21</f>
        <v>110</v>
      </c>
      <c r="AL7" s="1">
        <v>1522</v>
      </c>
      <c r="AM7" s="1">
        <v>540</v>
      </c>
      <c r="AN7" s="1">
        <v>1610</v>
      </c>
      <c r="AO7" s="7">
        <f>7+6+40</f>
        <v>53</v>
      </c>
      <c r="AQ7" s="1">
        <v>329</v>
      </c>
      <c r="AR7" s="1">
        <v>354</v>
      </c>
      <c r="AS7" s="1">
        <v>333</v>
      </c>
      <c r="AT7" s="7">
        <f>65+10+45</f>
        <v>120</v>
      </c>
      <c r="AV7" s="1">
        <v>3875</v>
      </c>
      <c r="AW7" s="1">
        <v>4337</v>
      </c>
      <c r="AX7" s="13">
        <v>3603</v>
      </c>
      <c r="AY7" s="7">
        <f>22+30+16</f>
        <v>68</v>
      </c>
      <c r="BA7" s="1">
        <v>1189</v>
      </c>
      <c r="BB7" s="13">
        <v>3769</v>
      </c>
      <c r="BC7" s="1">
        <v>3538</v>
      </c>
      <c r="BD7" s="7">
        <f>41+10+62</f>
        <v>113</v>
      </c>
      <c r="BE7">
        <f t="shared" si="1"/>
        <v>1181</v>
      </c>
    </row>
    <row r="8" spans="1:61" x14ac:dyDescent="0.25">
      <c r="A8" t="s">
        <v>19</v>
      </c>
      <c r="C8" s="1">
        <v>1421</v>
      </c>
      <c r="D8" s="1">
        <v>2080</v>
      </c>
      <c r="E8" s="1">
        <v>4199</v>
      </c>
      <c r="F8" s="7">
        <f>64+18+10</f>
        <v>92</v>
      </c>
      <c r="H8" s="1">
        <v>4028</v>
      </c>
      <c r="I8" s="1">
        <v>1747</v>
      </c>
      <c r="J8" s="1">
        <v>4058</v>
      </c>
      <c r="K8" s="7">
        <f>60+32+17</f>
        <v>109</v>
      </c>
      <c r="L8">
        <v>1</v>
      </c>
      <c r="M8" s="1">
        <v>296</v>
      </c>
      <c r="N8" s="1">
        <v>3980</v>
      </c>
      <c r="O8" s="1">
        <v>3386</v>
      </c>
      <c r="P8" s="7">
        <f>60+12+20</f>
        <v>92</v>
      </c>
      <c r="Q8">
        <v>1</v>
      </c>
      <c r="R8" s="1">
        <v>8</v>
      </c>
      <c r="S8" s="1">
        <v>1458</v>
      </c>
      <c r="T8" s="1">
        <v>3250</v>
      </c>
      <c r="U8" s="7">
        <f>20+16+36</f>
        <v>72</v>
      </c>
      <c r="W8" s="1">
        <v>1138</v>
      </c>
      <c r="X8" s="1">
        <v>974</v>
      </c>
      <c r="Y8" s="1">
        <v>3309</v>
      </c>
      <c r="Z8" s="7">
        <f>28+10+39</f>
        <v>77</v>
      </c>
      <c r="AB8" s="1">
        <v>1002</v>
      </c>
      <c r="AC8" s="1">
        <v>4240</v>
      </c>
      <c r="AD8" s="1">
        <v>4163</v>
      </c>
      <c r="AE8" s="7">
        <f>6+6+9</f>
        <v>21</v>
      </c>
      <c r="AG8" s="1">
        <v>1566</v>
      </c>
      <c r="AH8" s="1">
        <v>4183</v>
      </c>
      <c r="AI8" s="1">
        <v>2196</v>
      </c>
      <c r="AJ8" s="7">
        <f>14+48+4</f>
        <v>66</v>
      </c>
      <c r="AL8" s="1">
        <v>1086</v>
      </c>
      <c r="AM8" s="1">
        <v>422</v>
      </c>
      <c r="AN8" s="1">
        <v>3258</v>
      </c>
      <c r="AO8" s="7">
        <f>33+41+9</f>
        <v>83</v>
      </c>
      <c r="AQ8" s="1">
        <v>1396</v>
      </c>
      <c r="AR8" s="1">
        <v>4122</v>
      </c>
      <c r="AS8" s="1">
        <v>2579</v>
      </c>
      <c r="AT8" s="7">
        <f>10+30+8</f>
        <v>48</v>
      </c>
      <c r="AV8" s="1">
        <v>910</v>
      </c>
      <c r="AW8" s="1">
        <v>2771</v>
      </c>
      <c r="AX8" s="1">
        <v>858</v>
      </c>
      <c r="AY8" s="7">
        <f>48+46+50</f>
        <v>144</v>
      </c>
      <c r="BA8" s="1">
        <v>3175</v>
      </c>
      <c r="BB8" s="1">
        <v>2611</v>
      </c>
      <c r="BC8" s="1">
        <v>322</v>
      </c>
      <c r="BD8" s="7">
        <f>62+34+13</f>
        <v>109</v>
      </c>
      <c r="BE8">
        <f t="shared" si="1"/>
        <v>913</v>
      </c>
    </row>
    <row r="9" spans="1:61" x14ac:dyDescent="0.25">
      <c r="A9" t="s">
        <v>20</v>
      </c>
      <c r="C9" s="1">
        <v>2091</v>
      </c>
      <c r="D9" s="1">
        <v>4107</v>
      </c>
      <c r="E9" s="1">
        <v>1920</v>
      </c>
      <c r="F9" s="7">
        <f>7+17+4</f>
        <v>28</v>
      </c>
      <c r="H9" s="1">
        <v>1760</v>
      </c>
      <c r="I9" s="1">
        <v>2197</v>
      </c>
      <c r="J9" s="1">
        <v>4211</v>
      </c>
      <c r="K9" s="7">
        <f>24+50+35</f>
        <v>109</v>
      </c>
      <c r="L9">
        <v>2</v>
      </c>
      <c r="M9" s="1">
        <v>3980</v>
      </c>
      <c r="N9" s="1">
        <v>3386</v>
      </c>
      <c r="O9" s="1">
        <v>3550</v>
      </c>
      <c r="P9" s="7">
        <f>12+20+55</f>
        <v>87</v>
      </c>
      <c r="Q9">
        <v>1</v>
      </c>
      <c r="R9" s="1">
        <v>115</v>
      </c>
      <c r="S9" s="1">
        <v>295</v>
      </c>
      <c r="T9" s="1">
        <v>701</v>
      </c>
      <c r="U9" s="7">
        <f>21+22+24</f>
        <v>67</v>
      </c>
      <c r="W9" s="1">
        <v>4101</v>
      </c>
      <c r="X9" s="1">
        <v>2659</v>
      </c>
      <c r="Y9" s="1">
        <v>1148</v>
      </c>
      <c r="Z9" s="7">
        <f>6+14+13</f>
        <v>33</v>
      </c>
      <c r="AB9" s="1">
        <v>590</v>
      </c>
      <c r="AC9" s="1">
        <v>4193</v>
      </c>
      <c r="AD9" s="1">
        <v>4177</v>
      </c>
      <c r="AE9" s="7">
        <f>28+10+20</f>
        <v>58</v>
      </c>
      <c r="AG9" s="1">
        <v>3960</v>
      </c>
      <c r="AH9" s="1">
        <v>3239</v>
      </c>
      <c r="AI9" s="1">
        <v>4348</v>
      </c>
      <c r="AJ9" s="7">
        <f>14+29+20</f>
        <v>63</v>
      </c>
      <c r="AL9" s="1">
        <v>1699</v>
      </c>
      <c r="AM9" s="1">
        <v>3939</v>
      </c>
      <c r="AN9" s="1">
        <v>1599</v>
      </c>
      <c r="AO9" s="7">
        <f>37+5+15</f>
        <v>57</v>
      </c>
      <c r="AQ9" s="1">
        <v>3927</v>
      </c>
      <c r="AR9" s="1">
        <v>1660</v>
      </c>
      <c r="AS9" s="1">
        <v>1600</v>
      </c>
      <c r="AT9" s="7">
        <f>24+10+12</f>
        <v>46</v>
      </c>
      <c r="AV9" s="1">
        <v>1718</v>
      </c>
      <c r="AW9" s="1">
        <v>3570</v>
      </c>
      <c r="AX9" s="1">
        <v>216</v>
      </c>
      <c r="AY9" s="7">
        <f>119+24+24</f>
        <v>167</v>
      </c>
      <c r="BA9" s="1">
        <v>217</v>
      </c>
      <c r="BB9" s="1">
        <v>3632</v>
      </c>
      <c r="BC9" s="1">
        <v>3619</v>
      </c>
      <c r="BD9" s="7">
        <f>66+18+14</f>
        <v>98</v>
      </c>
      <c r="BE9">
        <f t="shared" si="1"/>
        <v>813</v>
      </c>
    </row>
    <row r="10" spans="1:61" x14ac:dyDescent="0.25">
      <c r="A10" t="s">
        <v>21</v>
      </c>
      <c r="C10" s="1">
        <v>418</v>
      </c>
      <c r="D10" s="1">
        <v>3310</v>
      </c>
      <c r="E10" s="1">
        <v>4053</v>
      </c>
      <c r="F10" s="7">
        <f>11+32+23</f>
        <v>66</v>
      </c>
      <c r="H10" s="1">
        <v>1732</v>
      </c>
      <c r="I10" s="1">
        <v>4272</v>
      </c>
      <c r="J10" s="1">
        <v>4103</v>
      </c>
      <c r="K10" s="7">
        <f>107+43+30</f>
        <v>180</v>
      </c>
      <c r="L10">
        <v>1</v>
      </c>
      <c r="M10" s="1">
        <v>2590</v>
      </c>
      <c r="N10" s="1">
        <v>3979</v>
      </c>
      <c r="O10" s="1">
        <v>3988</v>
      </c>
      <c r="P10" s="7">
        <f>76+12+29</f>
        <v>117</v>
      </c>
      <c r="Q10">
        <v>2</v>
      </c>
      <c r="R10" s="1">
        <v>1323</v>
      </c>
      <c r="S10" s="1">
        <v>1868</v>
      </c>
      <c r="T10" s="1">
        <v>604</v>
      </c>
      <c r="U10" s="7">
        <f>20+62+69</f>
        <v>151</v>
      </c>
      <c r="W10" s="1">
        <v>294</v>
      </c>
      <c r="X10" s="1">
        <v>383</v>
      </c>
      <c r="Y10" s="1">
        <v>4170</v>
      </c>
      <c r="Z10" s="7">
        <f>62+23+2</f>
        <v>87</v>
      </c>
      <c r="AB10" s="1">
        <v>1999</v>
      </c>
      <c r="AC10" s="1">
        <v>4059</v>
      </c>
      <c r="AD10" s="1">
        <v>4112</v>
      </c>
      <c r="AE10" s="7">
        <f>9+10+2</f>
        <v>21</v>
      </c>
      <c r="AG10" s="1">
        <v>2486</v>
      </c>
      <c r="AH10" s="1">
        <v>2993</v>
      </c>
      <c r="AI10" s="1">
        <v>4178</v>
      </c>
      <c r="AJ10" s="7">
        <f>68+30+12</f>
        <v>110</v>
      </c>
      <c r="AL10" s="1">
        <v>384</v>
      </c>
      <c r="AM10" s="1">
        <v>617</v>
      </c>
      <c r="AN10" s="1">
        <v>4394</v>
      </c>
      <c r="AO10" s="7">
        <f>102+18+39</f>
        <v>159</v>
      </c>
      <c r="AQ10" s="1">
        <v>125</v>
      </c>
      <c r="AR10" s="1">
        <v>4383</v>
      </c>
      <c r="AS10" s="1">
        <v>4299</v>
      </c>
      <c r="AT10" s="7">
        <f>54+4+6</f>
        <v>64</v>
      </c>
      <c r="AV10" s="1">
        <v>85</v>
      </c>
      <c r="AW10" s="1">
        <v>4368</v>
      </c>
      <c r="AX10" s="1">
        <v>4327</v>
      </c>
      <c r="AY10" s="7">
        <f>61+15+17</f>
        <v>93</v>
      </c>
      <c r="BA10" s="1">
        <v>1023</v>
      </c>
      <c r="BB10" s="1">
        <v>3547</v>
      </c>
      <c r="BC10" s="1">
        <v>2620</v>
      </c>
      <c r="BD10" s="7">
        <f>136+51+22</f>
        <v>209</v>
      </c>
      <c r="BE10">
        <f t="shared" si="1"/>
        <v>1257</v>
      </c>
    </row>
    <row r="11" spans="1:61" x14ac:dyDescent="0.25">
      <c r="A11" t="s">
        <v>22</v>
      </c>
      <c r="C11" s="1">
        <v>624</v>
      </c>
      <c r="D11" s="1">
        <v>3937</v>
      </c>
      <c r="E11" s="1">
        <v>3991</v>
      </c>
      <c r="F11" s="7">
        <f>121+59+10</f>
        <v>190</v>
      </c>
      <c r="H11" s="1">
        <v>234</v>
      </c>
      <c r="I11" s="1">
        <v>3487</v>
      </c>
      <c r="J11" s="1">
        <v>4070</v>
      </c>
      <c r="K11" s="7">
        <f>34+62+12</f>
        <v>108</v>
      </c>
      <c r="L11">
        <v>1</v>
      </c>
      <c r="M11" s="1">
        <v>1517</v>
      </c>
      <c r="N11" s="1">
        <v>3360</v>
      </c>
      <c r="O11" s="1">
        <v>3981</v>
      </c>
      <c r="P11" s="7">
        <f>54+63+45</f>
        <v>162</v>
      </c>
      <c r="Q11">
        <v>1</v>
      </c>
      <c r="R11" s="1">
        <v>1323</v>
      </c>
      <c r="S11" s="1">
        <v>1868</v>
      </c>
      <c r="T11" s="1">
        <v>604</v>
      </c>
      <c r="U11" s="7">
        <f>20+62+69</f>
        <v>151</v>
      </c>
      <c r="W11" s="1">
        <v>2576</v>
      </c>
      <c r="X11" s="1">
        <v>3934</v>
      </c>
      <c r="Y11" s="1">
        <v>1759</v>
      </c>
      <c r="Z11" s="7">
        <f>21+8+12</f>
        <v>41</v>
      </c>
      <c r="AB11" s="1">
        <v>3824</v>
      </c>
      <c r="AC11" s="1">
        <v>4080</v>
      </c>
      <c r="AD11" s="1">
        <v>1746</v>
      </c>
      <c r="AE11" s="7">
        <f>49+43+11</f>
        <v>103</v>
      </c>
      <c r="AG11" s="1">
        <v>3456</v>
      </c>
      <c r="AH11" s="1">
        <v>4153</v>
      </c>
      <c r="AI11" s="1">
        <v>2122</v>
      </c>
      <c r="AJ11" s="7">
        <f>62+54+59</f>
        <v>175</v>
      </c>
      <c r="AL11" s="1">
        <v>435</v>
      </c>
      <c r="AM11" s="1">
        <v>405</v>
      </c>
      <c r="AN11" s="1">
        <v>4286</v>
      </c>
      <c r="AO11" s="7">
        <f>41+18+12</f>
        <v>71</v>
      </c>
      <c r="AQ11" s="1">
        <v>4108</v>
      </c>
      <c r="AR11" s="1">
        <v>2869</v>
      </c>
      <c r="AS11" s="1">
        <v>195</v>
      </c>
      <c r="AT11" s="7">
        <f>16+26+56</f>
        <v>98</v>
      </c>
      <c r="AV11" s="1">
        <v>1918</v>
      </c>
      <c r="AW11" s="1">
        <v>857</v>
      </c>
      <c r="AX11" s="1">
        <v>3234</v>
      </c>
      <c r="AY11" s="7">
        <f>71+28+56</f>
        <v>155</v>
      </c>
      <c r="BA11" s="1">
        <v>201</v>
      </c>
      <c r="BB11" s="1">
        <v>3096</v>
      </c>
      <c r="BC11" s="1">
        <v>2673</v>
      </c>
      <c r="BD11" s="7">
        <f>33+18+29</f>
        <v>80</v>
      </c>
      <c r="BE11">
        <f t="shared" si="1"/>
        <v>1334</v>
      </c>
    </row>
    <row r="12" spans="1:61" x14ac:dyDescent="0.25">
      <c r="A12" t="s">
        <v>23</v>
      </c>
      <c r="C12" s="1">
        <v>1296</v>
      </c>
      <c r="D12" s="1">
        <v>4179</v>
      </c>
      <c r="E12" s="1">
        <v>4087</v>
      </c>
      <c r="F12" s="7">
        <f>37+9+13</f>
        <v>59</v>
      </c>
      <c r="H12" s="1">
        <v>2081</v>
      </c>
      <c r="I12" s="1">
        <v>3565</v>
      </c>
      <c r="J12" s="1">
        <v>3865</v>
      </c>
      <c r="K12" s="7">
        <f>33+30+56</f>
        <v>119</v>
      </c>
      <c r="L12">
        <v>2</v>
      </c>
      <c r="M12" s="1">
        <v>176</v>
      </c>
      <c r="N12" s="1">
        <v>2626</v>
      </c>
      <c r="O12" s="1">
        <v>4007</v>
      </c>
      <c r="P12" s="7">
        <f>90+81+5</f>
        <v>176</v>
      </c>
      <c r="Q12">
        <v>2</v>
      </c>
      <c r="R12" s="1">
        <v>766</v>
      </c>
      <c r="S12" s="1">
        <v>692</v>
      </c>
      <c r="T12" s="1">
        <v>295</v>
      </c>
      <c r="U12" s="7">
        <f>15+19+22</f>
        <v>56</v>
      </c>
      <c r="W12" s="1">
        <v>1515</v>
      </c>
      <c r="X12" s="1">
        <v>207</v>
      </c>
      <c r="Y12" s="1">
        <v>687</v>
      </c>
      <c r="Z12" s="7">
        <f>18+50+13</f>
        <v>81</v>
      </c>
      <c r="AB12" s="1">
        <v>1261</v>
      </c>
      <c r="AC12" s="1">
        <v>587</v>
      </c>
      <c r="AD12" s="1">
        <v>1379</v>
      </c>
      <c r="AE12" s="7">
        <f>87+60+11</f>
        <v>158</v>
      </c>
      <c r="AG12" s="1">
        <v>3374</v>
      </c>
      <c r="AH12" s="1">
        <v>473</v>
      </c>
      <c r="AI12" s="1">
        <v>1569</v>
      </c>
      <c r="AJ12" s="7">
        <f>12+23+60</f>
        <v>95</v>
      </c>
      <c r="AL12" s="1">
        <v>1418</v>
      </c>
      <c r="AM12" s="1">
        <v>1541</v>
      </c>
      <c r="AN12" s="1">
        <v>2434</v>
      </c>
      <c r="AO12" s="7">
        <f>39+61+8</f>
        <v>108</v>
      </c>
      <c r="AQ12" s="1">
        <v>694</v>
      </c>
      <c r="AR12" s="1">
        <v>395</v>
      </c>
      <c r="AS12" s="1">
        <v>4191</v>
      </c>
      <c r="AT12" s="7">
        <f>29+11+10</f>
        <v>50</v>
      </c>
      <c r="AV12" s="1">
        <v>107</v>
      </c>
      <c r="AW12" s="1">
        <v>904</v>
      </c>
      <c r="AX12" s="1">
        <v>1896</v>
      </c>
      <c r="AY12" s="7">
        <f>42+36+14</f>
        <v>92</v>
      </c>
      <c r="BA12" s="1">
        <v>469</v>
      </c>
      <c r="BB12" s="1">
        <v>2832</v>
      </c>
      <c r="BC12" s="1">
        <v>3002</v>
      </c>
      <c r="BD12" s="7">
        <f>98+22+18</f>
        <v>138</v>
      </c>
      <c r="BE12">
        <f t="shared" si="1"/>
        <v>1132</v>
      </c>
    </row>
    <row r="13" spans="1:61" x14ac:dyDescent="0.25">
      <c r="A13" t="s">
        <v>24</v>
      </c>
      <c r="C13" s="1">
        <v>2848</v>
      </c>
      <c r="D13" s="1">
        <v>3753</v>
      </c>
      <c r="E13" s="1">
        <v>3616</v>
      </c>
      <c r="F13" s="7">
        <f>71+17+20</f>
        <v>108</v>
      </c>
      <c r="H13" s="1">
        <v>292</v>
      </c>
      <c r="I13" s="1">
        <v>868</v>
      </c>
      <c r="J13" s="1">
        <v>3147</v>
      </c>
      <c r="K13" s="7">
        <f>79+64+25</f>
        <v>168</v>
      </c>
      <c r="L13">
        <v>2</v>
      </c>
      <c r="M13" s="1">
        <v>173</v>
      </c>
      <c r="N13" s="1">
        <v>3989</v>
      </c>
      <c r="O13" s="1">
        <v>3975</v>
      </c>
      <c r="P13" s="7">
        <f>24+25+33</f>
        <v>82</v>
      </c>
      <c r="Q13">
        <v>1</v>
      </c>
      <c r="R13" s="1">
        <v>1388</v>
      </c>
      <c r="S13" s="1">
        <v>2551</v>
      </c>
      <c r="T13" s="1">
        <v>100</v>
      </c>
      <c r="U13" s="7">
        <f>32+9+20</f>
        <v>61</v>
      </c>
      <c r="W13" s="1">
        <v>1197</v>
      </c>
      <c r="X13" s="1">
        <v>599</v>
      </c>
      <c r="Y13" s="1">
        <v>696</v>
      </c>
      <c r="Z13" s="7">
        <f>39+46+40</f>
        <v>125</v>
      </c>
      <c r="AB13" s="1">
        <v>1771</v>
      </c>
      <c r="AC13" s="1">
        <v>1648</v>
      </c>
      <c r="AD13" s="1">
        <v>1414</v>
      </c>
      <c r="AE13" s="7">
        <f>53+28+8</f>
        <v>89</v>
      </c>
      <c r="AG13" s="1">
        <v>3483</v>
      </c>
      <c r="AH13" s="1">
        <v>3230</v>
      </c>
      <c r="AI13" s="1">
        <v>3241</v>
      </c>
      <c r="AJ13" s="7">
        <f>59+61+38</f>
        <v>158</v>
      </c>
      <c r="AL13" s="1">
        <v>3948</v>
      </c>
      <c r="AM13" s="1">
        <v>3072</v>
      </c>
      <c r="AN13" s="1">
        <v>1262</v>
      </c>
      <c r="AO13" s="7">
        <f>25+9+72</f>
        <v>106</v>
      </c>
      <c r="AQ13" s="1">
        <v>271</v>
      </c>
      <c r="AR13" s="1">
        <v>263</v>
      </c>
      <c r="AS13" s="1">
        <v>1230</v>
      </c>
      <c r="AT13" s="7">
        <f>8+27+36</f>
        <v>71</v>
      </c>
      <c r="AV13" s="1">
        <v>2586</v>
      </c>
      <c r="AW13" s="1">
        <v>3546</v>
      </c>
      <c r="AX13" s="1">
        <v>3688</v>
      </c>
      <c r="AY13" s="7">
        <f>52+80+22</f>
        <v>154</v>
      </c>
      <c r="BA13" s="1">
        <v>519</v>
      </c>
      <c r="BB13" s="1">
        <v>2224</v>
      </c>
      <c r="BC13" s="1">
        <v>2960</v>
      </c>
      <c r="BD13" s="7">
        <f>18+26+28</f>
        <v>72</v>
      </c>
      <c r="BE13">
        <f t="shared" si="1"/>
        <v>1194</v>
      </c>
    </row>
    <row r="14" spans="1:61" x14ac:dyDescent="0.25">
      <c r="A14" t="s">
        <v>25</v>
      </c>
      <c r="C14" s="1">
        <v>57</v>
      </c>
      <c r="D14" s="1">
        <v>3337</v>
      </c>
      <c r="E14" s="1">
        <v>4136</v>
      </c>
      <c r="F14" s="8">
        <f>29+28+0</f>
        <v>57</v>
      </c>
      <c r="H14" s="1">
        <v>45</v>
      </c>
      <c r="I14" s="1">
        <v>2171</v>
      </c>
      <c r="J14" s="1">
        <v>3947</v>
      </c>
      <c r="K14" s="8">
        <f>15+19+99</f>
        <v>133</v>
      </c>
      <c r="L14">
        <v>2</v>
      </c>
      <c r="M14" s="1">
        <v>296</v>
      </c>
      <c r="N14" s="1">
        <v>3360</v>
      </c>
      <c r="O14" s="1">
        <v>3988</v>
      </c>
      <c r="P14" s="8">
        <f>60+63+29</f>
        <v>152</v>
      </c>
      <c r="Q14">
        <v>2</v>
      </c>
      <c r="R14" s="1">
        <v>115</v>
      </c>
      <c r="S14" s="1">
        <v>701</v>
      </c>
      <c r="T14" s="1">
        <v>1671</v>
      </c>
      <c r="U14" s="8">
        <f>21+24+54</f>
        <v>99</v>
      </c>
      <c r="W14" s="1">
        <v>987</v>
      </c>
      <c r="X14" s="1">
        <v>597</v>
      </c>
      <c r="Y14" s="1">
        <v>3952</v>
      </c>
      <c r="Z14" s="8">
        <f>105+54+26</f>
        <v>185</v>
      </c>
      <c r="AB14" s="1">
        <v>1319</v>
      </c>
      <c r="AC14" s="1">
        <v>2655</v>
      </c>
      <c r="AD14" s="1">
        <v>3959</v>
      </c>
      <c r="AE14" s="8">
        <f>54+16+11</f>
        <v>81</v>
      </c>
      <c r="AG14" s="1">
        <v>1158</v>
      </c>
      <c r="AH14" s="1">
        <v>4251</v>
      </c>
      <c r="AI14" s="1">
        <v>3006</v>
      </c>
      <c r="AJ14" s="8">
        <f>64+14+19</f>
        <v>97</v>
      </c>
      <c r="AL14" s="1">
        <v>122</v>
      </c>
      <c r="AM14" s="1">
        <v>3872</v>
      </c>
      <c r="AN14" s="1">
        <v>401</v>
      </c>
      <c r="AO14" s="8">
        <f>12+9+18</f>
        <v>39</v>
      </c>
      <c r="AQ14" s="1">
        <v>1676</v>
      </c>
      <c r="AR14" s="1">
        <v>353</v>
      </c>
      <c r="AS14" s="1">
        <v>4094</v>
      </c>
      <c r="AT14" s="8">
        <f>46+23+4</f>
        <v>73</v>
      </c>
      <c r="AV14" s="1">
        <v>74</v>
      </c>
      <c r="AW14" s="1">
        <v>4004</v>
      </c>
      <c r="AX14" s="1">
        <v>2405</v>
      </c>
      <c r="AY14" s="8">
        <f>24+57+26</f>
        <v>107</v>
      </c>
      <c r="BA14" s="1">
        <v>815</v>
      </c>
      <c r="BB14" s="1">
        <v>94</v>
      </c>
      <c r="BC14" s="1">
        <v>2591</v>
      </c>
      <c r="BD14" s="8">
        <f>30+14+40</f>
        <v>84</v>
      </c>
      <c r="BE14">
        <f t="shared" si="1"/>
        <v>1107</v>
      </c>
    </row>
    <row r="15" spans="1:61" x14ac:dyDescent="0.25">
      <c r="BB15" s="1"/>
    </row>
    <row r="17" spans="38:38" x14ac:dyDescent="0.25">
      <c r="AL17" t="s">
        <v>106</v>
      </c>
    </row>
  </sheetData>
  <mergeCells count="11">
    <mergeCell ref="AA1:AE1"/>
    <mergeCell ref="B1:F1"/>
    <mergeCell ref="G1:K1"/>
    <mergeCell ref="L1:P1"/>
    <mergeCell ref="Q1:U1"/>
    <mergeCell ref="V1:Z1"/>
    <mergeCell ref="AF1:AJ1"/>
    <mergeCell ref="AK1:AO1"/>
    <mergeCell ref="AP1:AT1"/>
    <mergeCell ref="AU1:AY1"/>
    <mergeCell ref="AZ1:B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69"/>
  <sheetViews>
    <sheetView zoomScaleNormal="100" workbookViewId="0">
      <pane xSplit="1" topLeftCell="BI1" activePane="topRight" state="frozen"/>
      <selection pane="topRight" activeCell="BR8" sqref="BR8"/>
    </sheetView>
  </sheetViews>
  <sheetFormatPr defaultRowHeight="15" x14ac:dyDescent="0.25"/>
  <cols>
    <col min="1" max="1" width="13.85546875" customWidth="1"/>
  </cols>
  <sheetData>
    <row r="1" spans="1:77" x14ac:dyDescent="0.25">
      <c r="B1" s="19" t="s">
        <v>61</v>
      </c>
      <c r="C1" s="19"/>
      <c r="D1" s="19"/>
      <c r="E1" s="19"/>
      <c r="F1" s="19"/>
      <c r="G1" s="19" t="s">
        <v>63</v>
      </c>
      <c r="H1" s="19"/>
      <c r="I1" s="19"/>
      <c r="J1" s="19"/>
      <c r="K1" s="19"/>
      <c r="L1" s="19" t="s">
        <v>64</v>
      </c>
      <c r="M1" s="19"/>
      <c r="N1" s="19"/>
      <c r="O1" s="19"/>
      <c r="P1" s="19"/>
      <c r="Q1" s="19" t="s">
        <v>65</v>
      </c>
      <c r="R1" s="19"/>
      <c r="S1" s="19"/>
      <c r="T1" s="19"/>
      <c r="U1" s="19"/>
      <c r="V1" s="19" t="s">
        <v>67</v>
      </c>
      <c r="W1" s="19"/>
      <c r="X1" s="19"/>
      <c r="Y1" s="19"/>
      <c r="Z1" s="19"/>
      <c r="AA1" s="19" t="s">
        <v>68</v>
      </c>
      <c r="AB1" s="19"/>
      <c r="AC1" s="19"/>
      <c r="AD1" s="19"/>
      <c r="AE1" s="19"/>
      <c r="AF1" s="19" t="s">
        <v>69</v>
      </c>
      <c r="AG1" s="19"/>
      <c r="AH1" s="19"/>
      <c r="AI1" s="19"/>
      <c r="AJ1" s="19"/>
      <c r="AK1" s="19" t="s">
        <v>70</v>
      </c>
      <c r="AL1" s="19"/>
      <c r="AM1" s="19"/>
      <c r="AN1" s="19"/>
      <c r="AO1" s="19"/>
      <c r="AP1" s="19" t="s">
        <v>71</v>
      </c>
      <c r="AQ1" s="19"/>
      <c r="AR1" s="19"/>
      <c r="AS1" s="19"/>
      <c r="AT1" s="19"/>
      <c r="AU1" s="19" t="s">
        <v>62</v>
      </c>
      <c r="AV1" s="19"/>
      <c r="AW1" s="19"/>
      <c r="AX1" s="19"/>
      <c r="AY1" s="19"/>
      <c r="AZ1" s="19" t="s">
        <v>109</v>
      </c>
      <c r="BA1" s="19"/>
      <c r="BB1" s="19"/>
      <c r="BC1" s="19"/>
      <c r="BD1" s="19"/>
      <c r="BE1" s="19" t="s">
        <v>66</v>
      </c>
      <c r="BF1" s="19"/>
      <c r="BG1" s="19"/>
      <c r="BH1" s="19"/>
      <c r="BI1" s="19"/>
      <c r="BJ1" s="19" t="s">
        <v>47</v>
      </c>
      <c r="BK1" s="19"/>
      <c r="BL1" s="19"/>
      <c r="BM1" s="19"/>
      <c r="BN1" s="19"/>
      <c r="BO1" s="19" t="s">
        <v>72</v>
      </c>
      <c r="BP1" s="19"/>
      <c r="BQ1" s="19"/>
      <c r="BR1" s="19"/>
      <c r="BS1" s="19"/>
      <c r="BT1" s="19" t="s">
        <v>73</v>
      </c>
      <c r="BU1" s="19"/>
      <c r="BV1" s="19"/>
      <c r="BW1" s="19"/>
      <c r="BX1" s="19"/>
    </row>
    <row r="2" spans="1:77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2</v>
      </c>
      <c r="AG2" t="s">
        <v>3</v>
      </c>
      <c r="AH2" t="s">
        <v>4</v>
      </c>
      <c r="AI2" t="s">
        <v>5</v>
      </c>
      <c r="AJ2" t="s">
        <v>27</v>
      </c>
      <c r="AK2" t="s">
        <v>2</v>
      </c>
      <c r="AL2" t="s">
        <v>3</v>
      </c>
      <c r="AM2" t="s">
        <v>4</v>
      </c>
      <c r="AN2" t="s">
        <v>5</v>
      </c>
      <c r="AO2" t="s">
        <v>27</v>
      </c>
      <c r="AP2" t="s">
        <v>2</v>
      </c>
      <c r="AQ2" t="s">
        <v>3</v>
      </c>
      <c r="AR2" t="s">
        <v>4</v>
      </c>
      <c r="AS2" t="s">
        <v>5</v>
      </c>
      <c r="AT2" t="s">
        <v>27</v>
      </c>
      <c r="AU2" t="s">
        <v>2</v>
      </c>
      <c r="AV2" t="s">
        <v>3</v>
      </c>
      <c r="AW2" t="s">
        <v>4</v>
      </c>
      <c r="AX2" t="s">
        <v>5</v>
      </c>
      <c r="AY2" t="s">
        <v>27</v>
      </c>
      <c r="AZ2" t="s">
        <v>2</v>
      </c>
      <c r="BA2" t="s">
        <v>3</v>
      </c>
      <c r="BB2" t="s">
        <v>4</v>
      </c>
      <c r="BC2" t="s">
        <v>5</v>
      </c>
      <c r="BD2" t="s">
        <v>27</v>
      </c>
      <c r="BE2" t="s">
        <v>2</v>
      </c>
      <c r="BF2" t="s">
        <v>3</v>
      </c>
      <c r="BG2" t="s">
        <v>4</v>
      </c>
      <c r="BH2" t="s">
        <v>5</v>
      </c>
      <c r="BI2" t="s">
        <v>27</v>
      </c>
      <c r="BJ2" t="s">
        <v>2</v>
      </c>
      <c r="BK2" t="s">
        <v>3</v>
      </c>
      <c r="BL2" t="s">
        <v>4</v>
      </c>
      <c r="BM2" t="s">
        <v>5</v>
      </c>
      <c r="BN2" t="s">
        <v>27</v>
      </c>
      <c r="BO2" t="s">
        <v>2</v>
      </c>
      <c r="BP2" t="s">
        <v>3</v>
      </c>
      <c r="BQ2" t="s">
        <v>4</v>
      </c>
      <c r="BR2" t="s">
        <v>5</v>
      </c>
      <c r="BS2" t="s">
        <v>27</v>
      </c>
      <c r="BT2" t="s">
        <v>2</v>
      </c>
      <c r="BU2" t="s">
        <v>3</v>
      </c>
      <c r="BV2" t="s">
        <v>4</v>
      </c>
      <c r="BW2" t="s">
        <v>5</v>
      </c>
      <c r="BX2" t="s">
        <v>27</v>
      </c>
      <c r="BY2" t="s">
        <v>34</v>
      </c>
    </row>
    <row r="3" spans="1:77" x14ac:dyDescent="0.25">
      <c r="A3" t="s">
        <v>14</v>
      </c>
      <c r="C3" s="1">
        <v>4202</v>
      </c>
      <c r="D3" s="1">
        <v>4183</v>
      </c>
      <c r="E3" s="1">
        <v>4018</v>
      </c>
      <c r="F3" s="6">
        <f>25+23+9</f>
        <v>57</v>
      </c>
      <c r="H3" s="4">
        <v>4388</v>
      </c>
      <c r="I3" s="4">
        <v>3648</v>
      </c>
      <c r="J3" s="4">
        <v>2352</v>
      </c>
      <c r="K3" s="6">
        <f>29+8+27</f>
        <v>64</v>
      </c>
      <c r="M3" s="1">
        <v>359</v>
      </c>
      <c r="N3" s="1">
        <v>2444</v>
      </c>
      <c r="O3" s="1">
        <v>4270</v>
      </c>
      <c r="P3" s="6">
        <f>96+12+33</f>
        <v>141</v>
      </c>
      <c r="R3" s="1">
        <v>2949</v>
      </c>
      <c r="S3" s="1">
        <v>648</v>
      </c>
      <c r="T3" s="1">
        <v>4324</v>
      </c>
      <c r="U3" s="6">
        <f>81+22+16</f>
        <v>119</v>
      </c>
      <c r="W3" s="1">
        <v>1986</v>
      </c>
      <c r="X3" s="1">
        <v>4330</v>
      </c>
      <c r="Y3" s="1">
        <v>4196</v>
      </c>
      <c r="Z3" s="6">
        <f>112+47+18</f>
        <v>177</v>
      </c>
      <c r="AB3" s="1">
        <v>4083</v>
      </c>
      <c r="AC3" s="1">
        <v>3651</v>
      </c>
      <c r="AD3" s="1">
        <v>1539</v>
      </c>
      <c r="AE3" s="6">
        <f>31+12+20</f>
        <v>63</v>
      </c>
      <c r="AG3" s="1">
        <v>4304</v>
      </c>
      <c r="AH3" s="1">
        <v>4262</v>
      </c>
      <c r="AI3" s="1">
        <v>4173</v>
      </c>
      <c r="AJ3" s="6">
        <f>12+32+34</f>
        <v>78</v>
      </c>
      <c r="AL3" s="1">
        <v>3646</v>
      </c>
      <c r="AM3" s="1">
        <v>4105</v>
      </c>
      <c r="AN3" s="13">
        <v>2374</v>
      </c>
      <c r="AO3" s="6">
        <f>28+14+17</f>
        <v>59</v>
      </c>
      <c r="AQ3" s="1">
        <v>93</v>
      </c>
      <c r="AR3" s="1">
        <v>269</v>
      </c>
      <c r="AS3" s="1">
        <v>4371</v>
      </c>
      <c r="AT3" s="6">
        <f>23+62+40</f>
        <v>125</v>
      </c>
      <c r="AU3">
        <v>1</v>
      </c>
      <c r="AV3" s="1">
        <v>1305</v>
      </c>
      <c r="AW3" s="1">
        <v>1310</v>
      </c>
      <c r="AX3" s="1">
        <v>2852</v>
      </c>
      <c r="AY3" s="6">
        <f>19+36+48</f>
        <v>103</v>
      </c>
      <c r="BA3" s="1">
        <v>1507</v>
      </c>
      <c r="BB3" s="1">
        <v>378</v>
      </c>
      <c r="BC3" s="1">
        <v>4165</v>
      </c>
      <c r="BD3" s="6">
        <f>111+28+10</f>
        <v>149</v>
      </c>
      <c r="BF3" s="1">
        <v>341</v>
      </c>
      <c r="BG3" s="1">
        <v>2648</v>
      </c>
      <c r="BH3" s="1">
        <v>4311</v>
      </c>
      <c r="BI3" s="6">
        <f>109+23+16</f>
        <v>148</v>
      </c>
      <c r="BJ3">
        <v>1</v>
      </c>
      <c r="BK3" s="1">
        <v>573</v>
      </c>
      <c r="BL3" s="1">
        <v>703</v>
      </c>
      <c r="BM3" s="1">
        <v>3707</v>
      </c>
      <c r="BN3" s="6">
        <f>40+64+18</f>
        <v>122</v>
      </c>
      <c r="BO3">
        <v>1</v>
      </c>
      <c r="BP3" s="1">
        <v>245</v>
      </c>
      <c r="BQ3" s="1">
        <v>1254</v>
      </c>
      <c r="BR3" s="1">
        <v>3640</v>
      </c>
      <c r="BS3" s="6">
        <f>55+26+14</f>
        <v>95</v>
      </c>
      <c r="BT3">
        <v>2</v>
      </c>
      <c r="BU3" s="1">
        <v>223</v>
      </c>
      <c r="BV3" s="1">
        <v>1807</v>
      </c>
      <c r="BW3" s="1">
        <v>2180</v>
      </c>
      <c r="BX3" s="6">
        <f>36+20+76</f>
        <v>132</v>
      </c>
      <c r="BY3">
        <f>SUM(BX3,BS3,BN3,BI3,BD3,AY3,AT3,AO3,AJ3,AE3,Z3,U3,P3,K3,F3)</f>
        <v>1632</v>
      </c>
    </row>
    <row r="4" spans="1:77" x14ac:dyDescent="0.25">
      <c r="A4" t="s">
        <v>15</v>
      </c>
      <c r="C4" s="1">
        <v>610</v>
      </c>
      <c r="D4" s="1">
        <v>3785</v>
      </c>
      <c r="E4" s="1">
        <v>60</v>
      </c>
      <c r="F4" s="7">
        <f>110+18+28</f>
        <v>156</v>
      </c>
      <c r="H4" s="4">
        <v>1158</v>
      </c>
      <c r="I4" s="4">
        <v>1332</v>
      </c>
      <c r="J4" s="4">
        <v>3403</v>
      </c>
      <c r="K4" s="7">
        <f>60+27+12</f>
        <v>99</v>
      </c>
      <c r="M4" s="1">
        <v>3306</v>
      </c>
      <c r="N4" s="1">
        <v>3882</v>
      </c>
      <c r="O4" s="1">
        <v>2445</v>
      </c>
      <c r="P4" s="7">
        <f>11+27+36</f>
        <v>74</v>
      </c>
      <c r="R4" s="1">
        <v>1625</v>
      </c>
      <c r="S4" s="1">
        <v>2358</v>
      </c>
      <c r="T4" s="1">
        <v>3186</v>
      </c>
      <c r="U4" s="7">
        <f>53+48+29</f>
        <v>130</v>
      </c>
      <c r="W4" s="1">
        <v>931</v>
      </c>
      <c r="X4" s="1">
        <v>3397</v>
      </c>
      <c r="Y4" s="1">
        <v>3858</v>
      </c>
      <c r="Z4" s="7">
        <f>46+16+9</f>
        <v>71</v>
      </c>
      <c r="AB4" s="1">
        <v>342</v>
      </c>
      <c r="AC4" s="13">
        <v>3599</v>
      </c>
      <c r="AD4" s="1">
        <v>1319</v>
      </c>
      <c r="AE4" s="7">
        <f>98+10+74</f>
        <v>182</v>
      </c>
      <c r="AG4" s="1">
        <v>488</v>
      </c>
      <c r="AH4" s="13">
        <v>3813</v>
      </c>
      <c r="AI4" s="1">
        <v>3588</v>
      </c>
      <c r="AJ4" s="7">
        <f>133+28+35</f>
        <v>196</v>
      </c>
      <c r="AL4" s="1">
        <v>3221</v>
      </c>
      <c r="AM4" s="1">
        <v>3681</v>
      </c>
      <c r="AN4" s="13">
        <v>1318</v>
      </c>
      <c r="AO4" s="7">
        <f>23+28+49</f>
        <v>100</v>
      </c>
      <c r="AQ4" s="1">
        <v>2481</v>
      </c>
      <c r="AR4" s="1">
        <v>1714</v>
      </c>
      <c r="AS4" s="1">
        <v>3197</v>
      </c>
      <c r="AT4" s="7">
        <f>85+56+9</f>
        <v>150</v>
      </c>
      <c r="AU4">
        <v>1</v>
      </c>
      <c r="AV4" s="1">
        <v>3396</v>
      </c>
      <c r="AW4" s="1">
        <v>3683</v>
      </c>
      <c r="AX4" s="1">
        <v>3756</v>
      </c>
      <c r="AY4" s="7">
        <f>24+48+46</f>
        <v>118</v>
      </c>
      <c r="BA4" s="1">
        <v>379</v>
      </c>
      <c r="BB4" s="1">
        <v>291</v>
      </c>
      <c r="BC4" s="1">
        <v>695</v>
      </c>
      <c r="BD4" s="7">
        <f>43+21+16</f>
        <v>80</v>
      </c>
      <c r="BF4" s="1">
        <v>69</v>
      </c>
      <c r="BG4" s="1">
        <v>1100</v>
      </c>
      <c r="BH4" s="1">
        <v>131</v>
      </c>
      <c r="BI4" s="7">
        <f>27+52+32</f>
        <v>111</v>
      </c>
      <c r="BJ4">
        <v>1</v>
      </c>
      <c r="BK4" s="1">
        <v>3098</v>
      </c>
      <c r="BL4" s="1">
        <v>302</v>
      </c>
      <c r="BM4" s="1">
        <v>835</v>
      </c>
      <c r="BN4" s="7">
        <f>36+56+35</f>
        <v>127</v>
      </c>
      <c r="BO4">
        <v>1</v>
      </c>
      <c r="BP4" s="1">
        <v>2054</v>
      </c>
      <c r="BQ4" s="1">
        <v>2771</v>
      </c>
      <c r="BR4" s="1">
        <v>503</v>
      </c>
      <c r="BS4" s="7">
        <f>52+33+51</f>
        <v>136</v>
      </c>
      <c r="BT4">
        <v>1</v>
      </c>
      <c r="BU4" s="1">
        <v>3974</v>
      </c>
      <c r="BV4" s="1">
        <v>1712</v>
      </c>
      <c r="BW4" s="1">
        <v>4128</v>
      </c>
      <c r="BX4" s="7">
        <f>56+27+38</f>
        <v>121</v>
      </c>
      <c r="BY4">
        <f>SUM(BX4,BS4,BN4,BI4,BD4,AY4,AT4,AO4,AJ4,AE4,Z4,U4,P4,K4,F4)</f>
        <v>1851</v>
      </c>
    </row>
    <row r="5" spans="1:77" x14ac:dyDescent="0.25">
      <c r="A5" t="s">
        <v>16</v>
      </c>
      <c r="C5" s="1">
        <v>3187</v>
      </c>
      <c r="D5" s="1">
        <v>2662</v>
      </c>
      <c r="E5" s="1">
        <v>2134</v>
      </c>
      <c r="F5" s="7">
        <f>14+25+25</f>
        <v>64</v>
      </c>
      <c r="H5" s="4">
        <v>1691</v>
      </c>
      <c r="I5" s="4">
        <v>3703</v>
      </c>
      <c r="J5" s="4">
        <v>1361</v>
      </c>
      <c r="K5" s="7">
        <f>17+9+20</f>
        <v>46</v>
      </c>
      <c r="M5" s="1">
        <v>1056</v>
      </c>
      <c r="N5" s="1">
        <v>2439</v>
      </c>
      <c r="O5" s="1">
        <v>4374</v>
      </c>
      <c r="P5" s="7">
        <f>88+4+22</f>
        <v>114</v>
      </c>
      <c r="R5" s="1">
        <v>3494</v>
      </c>
      <c r="S5" s="1">
        <v>1781</v>
      </c>
      <c r="T5" s="1">
        <v>3135</v>
      </c>
      <c r="U5" s="7">
        <f>31+30+29</f>
        <v>90</v>
      </c>
      <c r="W5" s="1">
        <v>4156</v>
      </c>
      <c r="X5" s="1">
        <v>1658</v>
      </c>
      <c r="Y5" s="1">
        <v>3686</v>
      </c>
      <c r="Z5" s="7">
        <f>16+14+32</f>
        <v>62</v>
      </c>
      <c r="AB5" s="1">
        <v>1225</v>
      </c>
      <c r="AC5" s="1">
        <v>1758</v>
      </c>
      <c r="AD5" s="1">
        <v>2642</v>
      </c>
      <c r="AE5" s="7">
        <f>33+28+40</f>
        <v>101</v>
      </c>
      <c r="AG5" s="1">
        <v>3238</v>
      </c>
      <c r="AH5" s="1">
        <v>3393</v>
      </c>
      <c r="AI5" s="1">
        <v>2811</v>
      </c>
      <c r="AJ5" s="7">
        <f>37+30+45</f>
        <v>112</v>
      </c>
      <c r="AL5" s="1">
        <v>2046</v>
      </c>
      <c r="AM5" s="1">
        <v>3711</v>
      </c>
      <c r="AN5" s="1">
        <v>4309</v>
      </c>
      <c r="AO5" s="7">
        <f>142+55+17</f>
        <v>214</v>
      </c>
      <c r="AQ5" s="1">
        <v>967</v>
      </c>
      <c r="AR5" s="1">
        <v>1716</v>
      </c>
      <c r="AS5" s="1">
        <v>2077</v>
      </c>
      <c r="AT5" s="7">
        <f>50+45+16</f>
        <v>111</v>
      </c>
      <c r="AU5">
        <v>1</v>
      </c>
      <c r="AV5" s="1">
        <v>1114</v>
      </c>
      <c r="AW5" s="1">
        <v>2702</v>
      </c>
      <c r="AX5" s="1">
        <v>1334</v>
      </c>
      <c r="AY5" s="7">
        <f>116+28+24</f>
        <v>168</v>
      </c>
      <c r="BA5" s="1">
        <v>3015</v>
      </c>
      <c r="BB5" s="1">
        <v>2010</v>
      </c>
      <c r="BC5" s="1">
        <v>2632</v>
      </c>
      <c r="BD5" s="7">
        <f>50+12+24</f>
        <v>86</v>
      </c>
      <c r="BF5" s="1">
        <v>3466</v>
      </c>
      <c r="BG5" s="1">
        <v>1761</v>
      </c>
      <c r="BH5" s="1">
        <v>121</v>
      </c>
      <c r="BI5" s="7">
        <f>17+25+29</f>
        <v>71</v>
      </c>
      <c r="BJ5">
        <v>2</v>
      </c>
      <c r="BK5" s="1">
        <v>302</v>
      </c>
      <c r="BL5" s="1">
        <v>3098</v>
      </c>
      <c r="BM5" s="1">
        <v>1250</v>
      </c>
      <c r="BN5" s="7">
        <f>56+36+51</f>
        <v>143</v>
      </c>
      <c r="BO5">
        <v>1</v>
      </c>
      <c r="BP5" s="1">
        <v>2474</v>
      </c>
      <c r="BQ5" s="1">
        <v>1528</v>
      </c>
      <c r="BR5" s="1">
        <v>1243</v>
      </c>
      <c r="BS5" s="7">
        <f>83+26+50</f>
        <v>159</v>
      </c>
      <c r="BT5">
        <v>1</v>
      </c>
      <c r="BU5" s="1">
        <v>293</v>
      </c>
      <c r="BV5" s="1">
        <v>223</v>
      </c>
      <c r="BW5" s="1">
        <v>87</v>
      </c>
      <c r="BX5" s="7">
        <f>16+36+36</f>
        <v>88</v>
      </c>
      <c r="BY5">
        <f t="shared" ref="BY5:BY14" si="0">SUM(BX5,BS5,BN5,BI5,BD5,AY5,AT5,AO5,AJ5,AE5,Z5,U5,P5,K5,F5)</f>
        <v>1629</v>
      </c>
    </row>
    <row r="6" spans="1:77" x14ac:dyDescent="0.25">
      <c r="A6" t="s">
        <v>17</v>
      </c>
      <c r="C6" s="1">
        <v>1164</v>
      </c>
      <c r="D6" s="1">
        <v>1013</v>
      </c>
      <c r="E6" s="1">
        <v>3133</v>
      </c>
      <c r="F6" s="7">
        <f>19+9+12</f>
        <v>40</v>
      </c>
      <c r="H6" s="4">
        <v>399</v>
      </c>
      <c r="I6" s="4">
        <v>4072</v>
      </c>
      <c r="J6" s="4">
        <v>4386</v>
      </c>
      <c r="K6" s="7">
        <f>103+8+19</f>
        <v>130</v>
      </c>
      <c r="M6" s="13">
        <v>2459</v>
      </c>
      <c r="N6" s="1">
        <v>3721</v>
      </c>
      <c r="O6" s="1">
        <v>4253</v>
      </c>
      <c r="P6" s="7">
        <f>34+10+37</f>
        <v>81</v>
      </c>
      <c r="R6" s="1">
        <v>3928</v>
      </c>
      <c r="S6" s="1">
        <v>2022</v>
      </c>
      <c r="T6" s="1">
        <v>4212</v>
      </c>
      <c r="U6" s="7">
        <f>42+54+27</f>
        <v>123</v>
      </c>
      <c r="W6" s="1">
        <v>1987</v>
      </c>
      <c r="X6" s="1">
        <v>1329</v>
      </c>
      <c r="Y6" s="1">
        <v>4329</v>
      </c>
      <c r="Z6" s="7">
        <f>82+16+31</f>
        <v>129</v>
      </c>
      <c r="AB6" s="1">
        <v>2751</v>
      </c>
      <c r="AC6" s="1">
        <v>3976</v>
      </c>
      <c r="AD6" s="13">
        <v>2640</v>
      </c>
      <c r="AE6" s="7">
        <f>50+20+77</f>
        <v>147</v>
      </c>
      <c r="AG6" s="1">
        <v>1425</v>
      </c>
      <c r="AH6" s="1">
        <v>4205</v>
      </c>
      <c r="AI6" s="1">
        <v>4164</v>
      </c>
      <c r="AJ6" s="7">
        <f>66+20+39</f>
        <v>125</v>
      </c>
      <c r="AL6" s="1">
        <v>2471</v>
      </c>
      <c r="AM6" s="1">
        <v>4131</v>
      </c>
      <c r="AN6" s="1">
        <v>3390</v>
      </c>
      <c r="AO6" s="7">
        <f>95+11+38</f>
        <v>144</v>
      </c>
      <c r="AQ6" s="1">
        <v>706</v>
      </c>
      <c r="AR6" s="1">
        <v>135</v>
      </c>
      <c r="AS6" s="1">
        <v>930</v>
      </c>
      <c r="AT6" s="7">
        <f>32+29+27</f>
        <v>88</v>
      </c>
      <c r="AU6">
        <v>2</v>
      </c>
      <c r="AV6" s="1">
        <v>1114</v>
      </c>
      <c r="AW6" s="1">
        <v>1310</v>
      </c>
      <c r="AX6" s="1">
        <v>244</v>
      </c>
      <c r="AY6" s="7">
        <f>116+36+46</f>
        <v>198</v>
      </c>
      <c r="BA6" s="1">
        <v>578</v>
      </c>
      <c r="BB6" s="1">
        <v>120</v>
      </c>
      <c r="BC6" s="1">
        <v>2399</v>
      </c>
      <c r="BD6" s="7">
        <f>28+6+14</f>
        <v>48</v>
      </c>
      <c r="BF6" s="13">
        <v>3566</v>
      </c>
      <c r="BG6" s="1">
        <v>2013</v>
      </c>
      <c r="BH6" s="1">
        <v>2079</v>
      </c>
      <c r="BI6" s="7">
        <f>10+22+16</f>
        <v>48</v>
      </c>
      <c r="BJ6">
        <v>1</v>
      </c>
      <c r="BK6" s="1">
        <v>2612</v>
      </c>
      <c r="BL6" s="1">
        <v>830</v>
      </c>
      <c r="BM6" s="1">
        <v>4362</v>
      </c>
      <c r="BN6" s="7">
        <f>22+40+50</f>
        <v>112</v>
      </c>
      <c r="BO6">
        <v>2</v>
      </c>
      <c r="BP6" s="1">
        <v>1189</v>
      </c>
      <c r="BQ6" s="1">
        <v>1254</v>
      </c>
      <c r="BR6" s="13">
        <v>3617</v>
      </c>
      <c r="BS6" s="7">
        <f>20+26+64</f>
        <v>110</v>
      </c>
      <c r="BT6">
        <v>1</v>
      </c>
      <c r="BU6" s="1">
        <v>103</v>
      </c>
      <c r="BV6" s="1">
        <v>816</v>
      </c>
      <c r="BW6" s="1">
        <v>1626</v>
      </c>
      <c r="BX6" s="7">
        <f>42+64+30</f>
        <v>136</v>
      </c>
      <c r="BY6">
        <f t="shared" si="0"/>
        <v>1659</v>
      </c>
    </row>
    <row r="7" spans="1:77" x14ac:dyDescent="0.25">
      <c r="A7" t="s">
        <v>18</v>
      </c>
      <c r="C7" s="1">
        <v>2486</v>
      </c>
      <c r="D7" s="1">
        <v>3194</v>
      </c>
      <c r="E7" s="1">
        <v>2844</v>
      </c>
      <c r="F7" s="7">
        <f>116+13+19</f>
        <v>148</v>
      </c>
      <c r="H7" s="4">
        <v>1583</v>
      </c>
      <c r="I7" s="4">
        <v>1584</v>
      </c>
      <c r="J7" s="13">
        <v>3172</v>
      </c>
      <c r="K7" s="7">
        <f>23+16+32</f>
        <v>71</v>
      </c>
      <c r="M7" s="1">
        <v>3685</v>
      </c>
      <c r="N7" s="1">
        <v>3008</v>
      </c>
      <c r="O7" s="1">
        <v>2504</v>
      </c>
      <c r="P7" s="7">
        <f>20+75+16</f>
        <v>111</v>
      </c>
      <c r="R7" s="1">
        <v>1739</v>
      </c>
      <c r="S7" s="1">
        <v>2704</v>
      </c>
      <c r="T7" s="1">
        <v>4314</v>
      </c>
      <c r="U7" s="7">
        <f>27+11+16</f>
        <v>54</v>
      </c>
      <c r="W7" s="1">
        <v>1810</v>
      </c>
      <c r="X7" s="1">
        <v>1444</v>
      </c>
      <c r="Y7" s="1">
        <v>2408</v>
      </c>
      <c r="Z7" s="7">
        <f>27+20+20</f>
        <v>67</v>
      </c>
      <c r="AB7" s="1">
        <v>281</v>
      </c>
      <c r="AC7" s="1">
        <v>1398</v>
      </c>
      <c r="AD7" s="1">
        <v>3489</v>
      </c>
      <c r="AE7" s="7">
        <f>94+8+43</f>
        <v>145</v>
      </c>
      <c r="AG7" s="1">
        <v>2990</v>
      </c>
      <c r="AH7" s="13">
        <v>2906</v>
      </c>
      <c r="AI7" s="1">
        <v>3223</v>
      </c>
      <c r="AJ7" s="7">
        <f>35+14+34</f>
        <v>83</v>
      </c>
      <c r="AL7" s="1">
        <v>2910</v>
      </c>
      <c r="AM7" s="1">
        <v>492</v>
      </c>
      <c r="AN7" s="1">
        <v>1294</v>
      </c>
      <c r="AO7" s="7">
        <f>20+52+50</f>
        <v>122</v>
      </c>
      <c r="AQ7" s="1">
        <v>2169</v>
      </c>
      <c r="AR7" s="1">
        <v>171</v>
      </c>
      <c r="AS7" s="1">
        <v>2194</v>
      </c>
      <c r="AT7" s="7">
        <f>64+22+15</f>
        <v>101</v>
      </c>
      <c r="AU7">
        <v>1</v>
      </c>
      <c r="AV7" s="1">
        <v>1503</v>
      </c>
      <c r="AW7" s="1">
        <v>771</v>
      </c>
      <c r="AX7" s="1">
        <v>1846</v>
      </c>
      <c r="AY7" s="7">
        <f>92+54+16</f>
        <v>162</v>
      </c>
      <c r="BA7" s="1">
        <v>188</v>
      </c>
      <c r="BB7" s="1">
        <v>144</v>
      </c>
      <c r="BC7" s="1">
        <v>1308</v>
      </c>
      <c r="BD7" s="7">
        <f>56+17+10</f>
        <v>83</v>
      </c>
      <c r="BF7" s="1">
        <v>88</v>
      </c>
      <c r="BG7" s="1">
        <v>157</v>
      </c>
      <c r="BH7" s="1">
        <v>3958</v>
      </c>
      <c r="BI7" s="7">
        <f>36+36+64</f>
        <v>136</v>
      </c>
      <c r="BJ7">
        <v>1</v>
      </c>
      <c r="BK7" s="1">
        <v>548</v>
      </c>
      <c r="BL7" s="1">
        <v>1250</v>
      </c>
      <c r="BM7" s="1">
        <v>1684</v>
      </c>
      <c r="BN7" s="7">
        <f>132+51+52</f>
        <v>235</v>
      </c>
      <c r="BO7">
        <v>1</v>
      </c>
      <c r="BP7" s="1">
        <v>27</v>
      </c>
      <c r="BQ7" s="1">
        <v>858</v>
      </c>
      <c r="BR7" s="1">
        <v>94</v>
      </c>
      <c r="BS7" s="7">
        <f>108+47+65</f>
        <v>220</v>
      </c>
      <c r="BT7">
        <v>1</v>
      </c>
      <c r="BU7" s="1">
        <v>433</v>
      </c>
      <c r="BV7" s="1">
        <v>316</v>
      </c>
      <c r="BW7" s="1">
        <v>203</v>
      </c>
      <c r="BX7" s="7">
        <f>51+34+33</f>
        <v>118</v>
      </c>
      <c r="BY7">
        <f t="shared" si="0"/>
        <v>1856</v>
      </c>
    </row>
    <row r="8" spans="1:77" x14ac:dyDescent="0.25">
      <c r="A8" t="s">
        <v>19</v>
      </c>
      <c r="C8" s="1">
        <v>498</v>
      </c>
      <c r="D8" s="13">
        <v>2840</v>
      </c>
      <c r="E8" s="1">
        <v>3853</v>
      </c>
      <c r="F8" s="7">
        <f>57+53+26</f>
        <v>136</v>
      </c>
      <c r="H8" s="4">
        <v>159</v>
      </c>
      <c r="I8" s="4">
        <v>1977</v>
      </c>
      <c r="J8" s="4">
        <v>1245</v>
      </c>
      <c r="K8" s="7">
        <f>74+32+47</f>
        <v>153</v>
      </c>
      <c r="M8" s="1">
        <v>2437</v>
      </c>
      <c r="N8" s="1">
        <v>2896</v>
      </c>
      <c r="O8" s="1">
        <v>2348</v>
      </c>
      <c r="P8" s="7">
        <f>49+40+28</f>
        <v>117</v>
      </c>
      <c r="R8" s="1">
        <v>71</v>
      </c>
      <c r="S8" s="1">
        <v>2338</v>
      </c>
      <c r="T8" s="13">
        <v>2136</v>
      </c>
      <c r="U8" s="7">
        <f>77+37+14</f>
        <v>128</v>
      </c>
      <c r="W8" s="1">
        <v>1208</v>
      </c>
      <c r="X8" s="1">
        <v>1723</v>
      </c>
      <c r="Y8" s="1">
        <v>3862</v>
      </c>
      <c r="Z8" s="7">
        <f>85+30+10</f>
        <v>125</v>
      </c>
      <c r="AB8" s="1">
        <v>1287</v>
      </c>
      <c r="AC8" s="1">
        <v>1553</v>
      </c>
      <c r="AD8" s="1">
        <v>1876</v>
      </c>
      <c r="AE8" s="7">
        <f>32+15+42</f>
        <v>89</v>
      </c>
      <c r="AG8" s="1">
        <v>1622</v>
      </c>
      <c r="AH8" s="1">
        <v>2903</v>
      </c>
      <c r="AI8" s="1">
        <v>2928</v>
      </c>
      <c r="AJ8" s="7">
        <f>25+32+44</f>
        <v>101</v>
      </c>
      <c r="AL8" s="1">
        <v>948</v>
      </c>
      <c r="AM8" s="1">
        <v>2905</v>
      </c>
      <c r="AN8" s="1">
        <v>2522</v>
      </c>
      <c r="AO8" s="7">
        <f>19+9+72</f>
        <v>100</v>
      </c>
      <c r="AQ8" s="1">
        <v>3692</v>
      </c>
      <c r="AR8" s="1">
        <v>167</v>
      </c>
      <c r="AS8" s="1">
        <v>2039</v>
      </c>
      <c r="AT8" s="7">
        <f>18+55+32</f>
        <v>105</v>
      </c>
      <c r="AU8">
        <v>1</v>
      </c>
      <c r="AV8" s="1">
        <v>2056</v>
      </c>
      <c r="AW8" s="1">
        <v>781</v>
      </c>
      <c r="AX8" s="1">
        <v>3161</v>
      </c>
      <c r="AY8" s="7">
        <f>131+65+56</f>
        <v>252</v>
      </c>
      <c r="BA8" s="1">
        <v>1270</v>
      </c>
      <c r="BB8" s="1">
        <v>4385</v>
      </c>
      <c r="BC8" s="1">
        <v>4145</v>
      </c>
      <c r="BD8" s="7">
        <f>46+10+12</f>
        <v>68</v>
      </c>
      <c r="BF8" s="1">
        <v>2497</v>
      </c>
      <c r="BG8" s="1">
        <v>1027</v>
      </c>
      <c r="BH8" s="1">
        <v>2888</v>
      </c>
      <c r="BI8" s="7">
        <f>16+11+32</f>
        <v>59</v>
      </c>
      <c r="BJ8">
        <v>1</v>
      </c>
      <c r="BK8" s="1">
        <v>2337</v>
      </c>
      <c r="BL8" s="1">
        <v>1322</v>
      </c>
      <c r="BM8" s="1">
        <v>3415</v>
      </c>
      <c r="BN8" s="7">
        <f>79+26+30</f>
        <v>135</v>
      </c>
      <c r="BO8">
        <v>1</v>
      </c>
      <c r="BP8" s="1">
        <v>1189</v>
      </c>
      <c r="BQ8" s="1">
        <v>3620</v>
      </c>
      <c r="BR8" s="1">
        <v>4337</v>
      </c>
      <c r="BS8" s="7">
        <f>20+37+57</f>
        <v>114</v>
      </c>
      <c r="BT8">
        <v>2</v>
      </c>
      <c r="BU8" s="1">
        <v>1089</v>
      </c>
      <c r="BV8" s="1">
        <v>816</v>
      </c>
      <c r="BW8" s="1">
        <v>433</v>
      </c>
      <c r="BX8" s="7">
        <f>58+64+51</f>
        <v>173</v>
      </c>
      <c r="BY8">
        <f t="shared" si="0"/>
        <v>1855</v>
      </c>
    </row>
    <row r="9" spans="1:77" x14ac:dyDescent="0.25">
      <c r="A9" t="s">
        <v>20</v>
      </c>
      <c r="C9" s="1">
        <v>1828</v>
      </c>
      <c r="D9" s="1">
        <v>1633</v>
      </c>
      <c r="E9" s="1">
        <v>4111</v>
      </c>
      <c r="F9" s="7">
        <f>10+13+15</f>
        <v>38</v>
      </c>
      <c r="H9" s="4">
        <v>443</v>
      </c>
      <c r="I9" s="4">
        <v>1157</v>
      </c>
      <c r="J9" s="4">
        <v>1303</v>
      </c>
      <c r="K9" s="7">
        <f>9+43+13</f>
        <v>65</v>
      </c>
      <c r="M9" s="1">
        <v>1378</v>
      </c>
      <c r="N9" s="1">
        <v>3879</v>
      </c>
      <c r="O9" s="1">
        <v>3880</v>
      </c>
      <c r="P9" s="7">
        <f>30+1+62</f>
        <v>93</v>
      </c>
      <c r="R9" s="1">
        <v>3936</v>
      </c>
      <c r="S9" s="1">
        <v>3067</v>
      </c>
      <c r="T9" s="1">
        <v>3177</v>
      </c>
      <c r="U9" s="7">
        <f>44+31+20</f>
        <v>95</v>
      </c>
      <c r="W9" s="1">
        <v>4231</v>
      </c>
      <c r="X9" s="1">
        <v>2838</v>
      </c>
      <c r="Y9" s="1">
        <v>1178</v>
      </c>
      <c r="Z9" s="7">
        <f>16+13+44</f>
        <v>73</v>
      </c>
      <c r="AB9" s="1">
        <v>415</v>
      </c>
      <c r="AC9" s="1">
        <v>2059</v>
      </c>
      <c r="AD9" s="1">
        <v>4073</v>
      </c>
      <c r="AE9" s="7">
        <f>40+64+50</f>
        <v>154</v>
      </c>
      <c r="AG9" s="1">
        <v>2927</v>
      </c>
      <c r="AH9" s="1">
        <v>3576</v>
      </c>
      <c r="AI9" s="1">
        <v>2907</v>
      </c>
      <c r="AJ9" s="7">
        <f>16+24+32</f>
        <v>72</v>
      </c>
      <c r="AL9" s="1">
        <v>2605</v>
      </c>
      <c r="AM9" s="1">
        <v>3663</v>
      </c>
      <c r="AN9" s="1">
        <v>3787</v>
      </c>
      <c r="AO9" s="7">
        <f>29+31+12</f>
        <v>72</v>
      </c>
      <c r="AQ9" s="1">
        <v>4095</v>
      </c>
      <c r="AR9" s="1">
        <v>81</v>
      </c>
      <c r="AS9" s="1">
        <v>2830</v>
      </c>
      <c r="AT9" s="7">
        <f>10+16+24</f>
        <v>50</v>
      </c>
      <c r="AU9">
        <v>1</v>
      </c>
      <c r="AV9" s="1">
        <v>1535</v>
      </c>
      <c r="AW9" s="1">
        <v>4200</v>
      </c>
      <c r="AX9" s="1">
        <v>2809</v>
      </c>
      <c r="AY9" s="7">
        <f>33+39+34</f>
        <v>106</v>
      </c>
      <c r="BA9" s="1">
        <v>3010</v>
      </c>
      <c r="BB9" s="1">
        <v>276</v>
      </c>
      <c r="BC9" s="1">
        <v>306</v>
      </c>
      <c r="BD9" s="7">
        <f>22+16+11</f>
        <v>49</v>
      </c>
      <c r="BF9" s="1">
        <v>1965</v>
      </c>
      <c r="BG9" s="1">
        <v>4010</v>
      </c>
      <c r="BH9" s="1">
        <v>2423</v>
      </c>
      <c r="BI9" s="7">
        <f>8+32+42</f>
        <v>82</v>
      </c>
      <c r="BJ9">
        <v>2</v>
      </c>
      <c r="BK9" s="1">
        <v>1502</v>
      </c>
      <c r="BL9" s="1">
        <v>1684</v>
      </c>
      <c r="BM9" s="1">
        <v>240</v>
      </c>
      <c r="BN9" s="7">
        <f>40+52+36</f>
        <v>128</v>
      </c>
      <c r="BO9">
        <v>1</v>
      </c>
      <c r="BP9" s="1">
        <v>3617</v>
      </c>
      <c r="BQ9" s="1">
        <v>4381</v>
      </c>
      <c r="BR9" s="1">
        <v>4325</v>
      </c>
      <c r="BS9" s="7">
        <f>64+46+29</f>
        <v>139</v>
      </c>
      <c r="BT9">
        <v>1</v>
      </c>
      <c r="BU9" s="1">
        <v>25</v>
      </c>
      <c r="BV9" s="1">
        <v>2180</v>
      </c>
      <c r="BW9" s="1">
        <v>2729</v>
      </c>
      <c r="BX9" s="7">
        <f>38+76+29</f>
        <v>143</v>
      </c>
      <c r="BY9">
        <f t="shared" si="0"/>
        <v>1359</v>
      </c>
    </row>
    <row r="10" spans="1:77" x14ac:dyDescent="0.25">
      <c r="A10" t="s">
        <v>21</v>
      </c>
      <c r="C10" s="1">
        <v>2449</v>
      </c>
      <c r="D10" s="1">
        <v>383</v>
      </c>
      <c r="E10" s="1">
        <v>1726</v>
      </c>
      <c r="F10" s="7">
        <f>48+55+32</f>
        <v>135</v>
      </c>
      <c r="H10" s="4">
        <v>662</v>
      </c>
      <c r="I10" s="4">
        <v>4293</v>
      </c>
      <c r="J10" s="4">
        <v>1410</v>
      </c>
      <c r="K10" s="7">
        <f>59+31+29</f>
        <v>119</v>
      </c>
      <c r="M10" s="1">
        <v>368</v>
      </c>
      <c r="N10" s="1">
        <v>2443</v>
      </c>
      <c r="O10" s="1">
        <v>1920</v>
      </c>
      <c r="P10" s="7">
        <f>79+42+8</f>
        <v>129</v>
      </c>
      <c r="R10" s="1">
        <v>148</v>
      </c>
      <c r="S10" s="13">
        <v>3734</v>
      </c>
      <c r="T10" s="1">
        <v>3994</v>
      </c>
      <c r="U10" s="7">
        <f>104+12+11</f>
        <v>127</v>
      </c>
      <c r="W10" s="1">
        <v>1985</v>
      </c>
      <c r="X10" s="1">
        <v>1706</v>
      </c>
      <c r="Y10" s="1">
        <v>4404</v>
      </c>
      <c r="Z10" s="7">
        <f>125+10+20</f>
        <v>155</v>
      </c>
      <c r="AB10" s="1">
        <v>4074</v>
      </c>
      <c r="AC10" s="1">
        <v>2974</v>
      </c>
      <c r="AD10" s="1">
        <v>4243</v>
      </c>
      <c r="AE10" s="7">
        <f>8+38+14</f>
        <v>60</v>
      </c>
      <c r="AG10" s="1">
        <v>1778</v>
      </c>
      <c r="AH10" s="1">
        <v>2898</v>
      </c>
      <c r="AI10" s="1">
        <v>3801</v>
      </c>
      <c r="AJ10" s="7">
        <f>16+82+16</f>
        <v>114</v>
      </c>
      <c r="AL10" s="1">
        <v>360</v>
      </c>
      <c r="AM10" s="1">
        <v>2147</v>
      </c>
      <c r="AN10" s="1">
        <v>4060</v>
      </c>
      <c r="AO10" s="7">
        <f>39+42+43</f>
        <v>124</v>
      </c>
      <c r="AQ10" s="1">
        <v>2062</v>
      </c>
      <c r="AR10" s="1">
        <v>1675</v>
      </c>
      <c r="AS10" s="1">
        <v>4296</v>
      </c>
      <c r="AT10" s="7">
        <f>48+18+16</f>
        <v>82</v>
      </c>
      <c r="AU10">
        <v>2</v>
      </c>
      <c r="AV10" s="1">
        <v>2056</v>
      </c>
      <c r="AW10" s="1">
        <v>2702</v>
      </c>
      <c r="AX10" s="1">
        <v>2852</v>
      </c>
      <c r="AY10" s="7">
        <f>131+28+48</f>
        <v>207</v>
      </c>
      <c r="BA10" s="1">
        <v>340</v>
      </c>
      <c r="BB10" s="1">
        <v>2252</v>
      </c>
      <c r="BC10" s="1">
        <v>1248</v>
      </c>
      <c r="BD10" s="7">
        <f>119+60+18</f>
        <v>197</v>
      </c>
      <c r="BF10" s="1">
        <v>1768</v>
      </c>
      <c r="BG10" s="1">
        <v>1058</v>
      </c>
      <c r="BH10" s="1">
        <v>1153</v>
      </c>
      <c r="BI10" s="7">
        <f>35+20+36</f>
        <v>91</v>
      </c>
      <c r="BJ10">
        <v>1</v>
      </c>
      <c r="BK10" s="1">
        <v>66</v>
      </c>
      <c r="BL10" s="1">
        <v>67</v>
      </c>
      <c r="BM10" s="1">
        <v>2145</v>
      </c>
      <c r="BN10" s="7">
        <f>49+121+17</f>
        <v>187</v>
      </c>
      <c r="BO10">
        <v>2</v>
      </c>
      <c r="BP10" s="1">
        <v>2054</v>
      </c>
      <c r="BQ10" s="1">
        <v>494</v>
      </c>
      <c r="BR10" s="1">
        <v>503</v>
      </c>
      <c r="BS10" s="7">
        <f>52+35+51</f>
        <v>138</v>
      </c>
      <c r="BT10">
        <v>2</v>
      </c>
      <c r="BU10" s="1">
        <v>25</v>
      </c>
      <c r="BV10" s="1">
        <v>365</v>
      </c>
      <c r="BW10" s="1">
        <v>316</v>
      </c>
      <c r="BX10" s="7">
        <f>38+105+34</f>
        <v>177</v>
      </c>
      <c r="BY10">
        <f t="shared" si="0"/>
        <v>2042</v>
      </c>
    </row>
    <row r="11" spans="1:77" x14ac:dyDescent="0.25">
      <c r="A11" t="s">
        <v>22</v>
      </c>
      <c r="C11" s="1">
        <v>842</v>
      </c>
      <c r="D11" s="1">
        <v>4126</v>
      </c>
      <c r="E11" s="1">
        <v>2375</v>
      </c>
      <c r="F11" s="7">
        <f>106+15+22</f>
        <v>143</v>
      </c>
      <c r="H11" s="4">
        <v>2996</v>
      </c>
      <c r="I11" s="4">
        <v>3729</v>
      </c>
      <c r="J11" s="4">
        <v>1339</v>
      </c>
      <c r="K11" s="7">
        <f>108+68+13</f>
        <v>189</v>
      </c>
      <c r="M11" s="1">
        <v>2465</v>
      </c>
      <c r="N11" s="1">
        <v>2455</v>
      </c>
      <c r="O11" s="1">
        <v>2441</v>
      </c>
      <c r="P11" s="7">
        <f>19+28+12</f>
        <v>59</v>
      </c>
      <c r="R11" s="1">
        <v>101</v>
      </c>
      <c r="S11" s="1">
        <v>4129</v>
      </c>
      <c r="T11" s="1">
        <v>4302</v>
      </c>
      <c r="U11" s="7">
        <f>21+14+14</f>
        <v>49</v>
      </c>
      <c r="W11" s="1">
        <v>1094</v>
      </c>
      <c r="X11" s="1">
        <v>3792</v>
      </c>
      <c r="Y11" s="1">
        <v>2902</v>
      </c>
      <c r="Z11" s="7">
        <f>58+30+10</f>
        <v>98</v>
      </c>
      <c r="AB11" s="1">
        <v>3459</v>
      </c>
      <c r="AC11" s="1">
        <v>1102</v>
      </c>
      <c r="AD11" s="1">
        <v>4075</v>
      </c>
      <c r="AE11" s="7">
        <f>20+42+14</f>
        <v>76</v>
      </c>
      <c r="AG11" s="1">
        <v>1899</v>
      </c>
      <c r="AH11" s="1">
        <v>4038</v>
      </c>
      <c r="AI11" s="1">
        <v>4077</v>
      </c>
      <c r="AJ11" s="7">
        <f>32+12+12</f>
        <v>56</v>
      </c>
      <c r="AL11" s="1">
        <v>2660</v>
      </c>
      <c r="AM11" s="1">
        <v>3968</v>
      </c>
      <c r="AN11" s="1">
        <v>2555</v>
      </c>
      <c r="AO11" s="7">
        <f>17+75+16</f>
        <v>108</v>
      </c>
      <c r="AQ11" s="1">
        <v>1732</v>
      </c>
      <c r="AR11" s="1">
        <v>2202</v>
      </c>
      <c r="AS11" s="1">
        <v>868</v>
      </c>
      <c r="AT11" s="7">
        <f>50+16+66</f>
        <v>132</v>
      </c>
      <c r="AU11">
        <v>2</v>
      </c>
      <c r="AV11" s="1">
        <v>771</v>
      </c>
      <c r="AW11" s="1">
        <v>3396</v>
      </c>
      <c r="AX11" s="1">
        <v>4152</v>
      </c>
      <c r="AY11" s="7">
        <f>54+24+14</f>
        <v>92</v>
      </c>
      <c r="BA11" s="1">
        <v>451</v>
      </c>
      <c r="BB11" s="1">
        <v>1551</v>
      </c>
      <c r="BC11" s="1">
        <v>4119</v>
      </c>
      <c r="BD11" s="7">
        <f>8+40+11</f>
        <v>59</v>
      </c>
      <c r="BF11" s="1">
        <v>125</v>
      </c>
      <c r="BG11" s="1">
        <v>246</v>
      </c>
      <c r="BH11" s="1">
        <v>2871</v>
      </c>
      <c r="BI11" s="7">
        <f>73+97+14</f>
        <v>184</v>
      </c>
      <c r="BJ11">
        <v>2</v>
      </c>
      <c r="BK11" s="1">
        <v>548</v>
      </c>
      <c r="BL11" s="1">
        <v>2612</v>
      </c>
      <c r="BM11" s="1">
        <v>67</v>
      </c>
      <c r="BN11" s="7">
        <f>132+22+121</f>
        <v>275</v>
      </c>
      <c r="BO11">
        <v>2</v>
      </c>
      <c r="BP11" s="1">
        <v>2474</v>
      </c>
      <c r="BQ11" s="1">
        <v>4381</v>
      </c>
      <c r="BR11" s="1">
        <v>494</v>
      </c>
      <c r="BS11" s="7">
        <f>83+46+35</f>
        <v>164</v>
      </c>
      <c r="BT11">
        <v>2</v>
      </c>
      <c r="BU11" s="1">
        <v>3151</v>
      </c>
      <c r="BV11" s="1">
        <v>272</v>
      </c>
      <c r="BW11" s="1">
        <v>2729</v>
      </c>
      <c r="BX11" s="7">
        <f>19+24+29</f>
        <v>72</v>
      </c>
      <c r="BY11">
        <f t="shared" si="0"/>
        <v>1756</v>
      </c>
    </row>
    <row r="12" spans="1:77" x14ac:dyDescent="0.25">
      <c r="A12" t="s">
        <v>23</v>
      </c>
      <c r="C12" s="1">
        <v>1011</v>
      </c>
      <c r="D12" s="1">
        <v>1165</v>
      </c>
      <c r="E12" s="1">
        <v>1212</v>
      </c>
      <c r="F12" s="7">
        <f>23+29+51</f>
        <v>103</v>
      </c>
      <c r="H12" s="4">
        <v>1764</v>
      </c>
      <c r="I12" s="4">
        <v>2036</v>
      </c>
      <c r="J12" s="4">
        <v>2240</v>
      </c>
      <c r="K12" s="7">
        <f>69+20+32</f>
        <v>121</v>
      </c>
      <c r="M12" s="1">
        <v>3881</v>
      </c>
      <c r="N12" s="1">
        <v>3837</v>
      </c>
      <c r="O12" s="1">
        <v>3878</v>
      </c>
      <c r="P12" s="7">
        <f>43+18+14</f>
        <v>75</v>
      </c>
      <c r="R12" s="1">
        <v>111</v>
      </c>
      <c r="S12" s="1">
        <v>3942</v>
      </c>
      <c r="T12" s="1">
        <v>4241</v>
      </c>
      <c r="U12" s="7">
        <f>68+20+12</f>
        <v>100</v>
      </c>
      <c r="W12" s="1">
        <v>4331</v>
      </c>
      <c r="X12" s="1">
        <v>2978</v>
      </c>
      <c r="Y12" s="1">
        <v>1288</v>
      </c>
      <c r="Z12" s="7">
        <f>13+38+60</f>
        <v>111</v>
      </c>
      <c r="AB12" s="1">
        <v>11</v>
      </c>
      <c r="AC12" s="1">
        <v>343</v>
      </c>
      <c r="AD12" s="1">
        <v>4261</v>
      </c>
      <c r="AE12" s="7">
        <f>41+48+39</f>
        <v>128</v>
      </c>
      <c r="AG12" s="1">
        <v>3574</v>
      </c>
      <c r="AH12" s="1">
        <v>4030</v>
      </c>
      <c r="AI12" s="1">
        <v>3218</v>
      </c>
      <c r="AJ12" s="7">
        <f>57+44+18</f>
        <v>119</v>
      </c>
      <c r="AL12" s="1">
        <v>1510</v>
      </c>
      <c r="AM12" s="1">
        <v>3786</v>
      </c>
      <c r="AN12" s="1">
        <v>3575</v>
      </c>
      <c r="AO12" s="7">
        <f>53+24+6</f>
        <v>83</v>
      </c>
      <c r="AQ12" s="1">
        <v>2826</v>
      </c>
      <c r="AR12" s="1">
        <v>2040</v>
      </c>
      <c r="AS12" s="1">
        <v>1306</v>
      </c>
      <c r="AT12" s="7">
        <f>98+18+76</f>
        <v>192</v>
      </c>
      <c r="AU12">
        <v>2</v>
      </c>
      <c r="AV12" s="1">
        <v>1503</v>
      </c>
      <c r="AW12" s="1">
        <v>1334</v>
      </c>
      <c r="AX12" s="1">
        <v>288</v>
      </c>
      <c r="AY12" s="7">
        <f>92+24+35</f>
        <v>151</v>
      </c>
      <c r="BA12" s="1">
        <v>63</v>
      </c>
      <c r="BB12" s="1">
        <v>156</v>
      </c>
      <c r="BC12" s="1">
        <v>3496</v>
      </c>
      <c r="BD12" s="7">
        <f>42+42+36</f>
        <v>120</v>
      </c>
      <c r="BF12" s="1">
        <v>78</v>
      </c>
      <c r="BG12" s="1">
        <v>4169</v>
      </c>
      <c r="BH12" s="1">
        <v>1474</v>
      </c>
      <c r="BI12" s="7">
        <f>84+6+8</f>
        <v>98</v>
      </c>
      <c r="BJ12">
        <v>1</v>
      </c>
      <c r="BK12" s="1">
        <v>68</v>
      </c>
      <c r="BL12" s="1">
        <v>3535</v>
      </c>
      <c r="BM12" s="1">
        <v>240</v>
      </c>
      <c r="BN12" s="7">
        <f>70+28+36</f>
        <v>134</v>
      </c>
      <c r="BO12">
        <v>2</v>
      </c>
      <c r="BP12" s="1">
        <v>27</v>
      </c>
      <c r="BQ12" s="1">
        <v>3640</v>
      </c>
      <c r="BR12" s="1">
        <v>4325</v>
      </c>
      <c r="BS12" s="7">
        <f>108+14+29</f>
        <v>151</v>
      </c>
      <c r="BT12">
        <v>2</v>
      </c>
      <c r="BU12" s="1">
        <v>3974</v>
      </c>
      <c r="BV12" s="1">
        <v>103</v>
      </c>
      <c r="BW12" s="1">
        <v>1626</v>
      </c>
      <c r="BX12" s="7">
        <f>56+42+30</f>
        <v>128</v>
      </c>
      <c r="BY12">
        <f t="shared" si="0"/>
        <v>1814</v>
      </c>
    </row>
    <row r="13" spans="1:77" x14ac:dyDescent="0.25">
      <c r="A13" t="s">
        <v>24</v>
      </c>
      <c r="C13" s="1">
        <v>1492</v>
      </c>
      <c r="D13" s="1">
        <v>3170</v>
      </c>
      <c r="E13" s="1">
        <v>698</v>
      </c>
      <c r="F13" s="7">
        <f>16+14+27</f>
        <v>57</v>
      </c>
      <c r="H13" s="4">
        <v>1619</v>
      </c>
      <c r="I13" s="4">
        <v>1348</v>
      </c>
      <c r="J13" s="4">
        <v>2083</v>
      </c>
      <c r="K13" s="7">
        <f>31+12+7</f>
        <v>50</v>
      </c>
      <c r="M13" s="1">
        <v>2460</v>
      </c>
      <c r="N13" s="1">
        <v>2477</v>
      </c>
      <c r="O13" s="1">
        <v>4218</v>
      </c>
      <c r="P13" s="7">
        <f>22+10+75</f>
        <v>107</v>
      </c>
      <c r="R13" s="1">
        <v>16</v>
      </c>
      <c r="S13" s="1">
        <v>2151</v>
      </c>
      <c r="T13" s="1">
        <v>3488</v>
      </c>
      <c r="U13" s="7">
        <f>118+44+13</f>
        <v>175</v>
      </c>
      <c r="W13" s="1">
        <v>4232</v>
      </c>
      <c r="X13" s="1">
        <v>3868</v>
      </c>
      <c r="Y13" s="1">
        <v>4246</v>
      </c>
      <c r="Z13" s="7">
        <f>37+32+16</f>
        <v>85</v>
      </c>
      <c r="AB13" s="1">
        <v>1293</v>
      </c>
      <c r="AC13" s="1">
        <v>1051</v>
      </c>
      <c r="AD13" s="1">
        <v>337</v>
      </c>
      <c r="AE13" s="7">
        <f>6+19+20</f>
        <v>45</v>
      </c>
      <c r="AG13" s="1">
        <v>2557</v>
      </c>
      <c r="AH13" s="1">
        <v>3219</v>
      </c>
      <c r="AI13" s="1">
        <v>3049</v>
      </c>
      <c r="AJ13" s="7">
        <f>93+49+16</f>
        <v>158</v>
      </c>
      <c r="AL13" s="1">
        <v>3662</v>
      </c>
      <c r="AM13" s="1">
        <v>2930</v>
      </c>
      <c r="AN13" s="1">
        <v>2976</v>
      </c>
      <c r="AO13" s="7">
        <f>52+33+12</f>
        <v>97</v>
      </c>
      <c r="AQ13" s="1">
        <v>48</v>
      </c>
      <c r="AR13" s="1">
        <v>2506</v>
      </c>
      <c r="AS13" s="1">
        <v>3352</v>
      </c>
      <c r="AT13" s="7">
        <f>101+36+17</f>
        <v>154</v>
      </c>
      <c r="AU13">
        <v>2</v>
      </c>
      <c r="AV13" s="1">
        <v>216</v>
      </c>
      <c r="AW13" s="1">
        <v>2809</v>
      </c>
      <c r="AX13" s="1">
        <v>3739</v>
      </c>
      <c r="AY13" s="7">
        <f>51+34+16</f>
        <v>101</v>
      </c>
      <c r="BA13" s="1">
        <v>1241</v>
      </c>
      <c r="BB13" s="1">
        <v>1317</v>
      </c>
      <c r="BC13" s="1">
        <v>2053</v>
      </c>
      <c r="BD13" s="7">
        <f>44+15+27</f>
        <v>86</v>
      </c>
      <c r="BF13" s="1">
        <v>2713</v>
      </c>
      <c r="BG13" s="1">
        <v>2262</v>
      </c>
      <c r="BH13" s="1">
        <v>2523</v>
      </c>
      <c r="BI13" s="7">
        <f>14+6+8</f>
        <v>28</v>
      </c>
      <c r="BJ13">
        <v>2</v>
      </c>
      <c r="BK13" s="1">
        <v>573</v>
      </c>
      <c r="BL13" s="1">
        <v>66</v>
      </c>
      <c r="BM13" s="1">
        <v>2145</v>
      </c>
      <c r="BN13" s="7">
        <f>40+49+17</f>
        <v>106</v>
      </c>
      <c r="BO13">
        <v>2</v>
      </c>
      <c r="BP13" s="1">
        <v>2959</v>
      </c>
      <c r="BQ13" s="1">
        <v>70</v>
      </c>
      <c r="BR13" s="1">
        <v>2771</v>
      </c>
      <c r="BS13" s="7">
        <f>52+70+33</f>
        <v>155</v>
      </c>
      <c r="BT13">
        <v>2</v>
      </c>
      <c r="BU13" s="1">
        <v>1712</v>
      </c>
      <c r="BV13" s="1">
        <v>87</v>
      </c>
      <c r="BW13" s="1">
        <v>1647</v>
      </c>
      <c r="BX13" s="7">
        <f>27+36+29</f>
        <v>92</v>
      </c>
      <c r="BY13">
        <f t="shared" si="0"/>
        <v>1496</v>
      </c>
    </row>
    <row r="14" spans="1:77" x14ac:dyDescent="0.25">
      <c r="A14" t="s">
        <v>25</v>
      </c>
      <c r="C14" s="1">
        <v>3158</v>
      </c>
      <c r="D14" s="1">
        <v>3019</v>
      </c>
      <c r="E14" s="1">
        <v>2403</v>
      </c>
      <c r="F14" s="8">
        <f>48+8+27</f>
        <v>83</v>
      </c>
      <c r="H14" s="4">
        <v>932</v>
      </c>
      <c r="I14" s="4">
        <v>4068</v>
      </c>
      <c r="J14" s="4">
        <v>4387</v>
      </c>
      <c r="K14" s="8">
        <f>55+28+10</f>
        <v>93</v>
      </c>
      <c r="M14" s="1">
        <v>2090</v>
      </c>
      <c r="N14" s="1">
        <v>4158</v>
      </c>
      <c r="O14" s="1">
        <v>2438</v>
      </c>
      <c r="P14" s="8">
        <f>60+29+63</f>
        <v>152</v>
      </c>
      <c r="R14" s="1">
        <v>1710</v>
      </c>
      <c r="S14" s="1">
        <v>2781</v>
      </c>
      <c r="T14" s="1">
        <v>4037</v>
      </c>
      <c r="U14" s="8">
        <f>74+48+12</f>
        <v>134</v>
      </c>
      <c r="W14" s="1">
        <v>3284</v>
      </c>
      <c r="X14" s="1">
        <v>1182</v>
      </c>
      <c r="Y14" s="1">
        <v>4154</v>
      </c>
      <c r="Z14" s="8">
        <f>25+26+18</f>
        <v>69</v>
      </c>
      <c r="AB14" s="1">
        <v>2815</v>
      </c>
      <c r="AC14" s="1">
        <v>3196</v>
      </c>
      <c r="AD14" s="1">
        <v>4267</v>
      </c>
      <c r="AE14" s="8">
        <f>54+34+13</f>
        <v>101</v>
      </c>
      <c r="AG14" s="1">
        <v>585</v>
      </c>
      <c r="AH14" s="1">
        <v>1983</v>
      </c>
      <c r="AI14" s="1">
        <v>4089</v>
      </c>
      <c r="AJ14" s="8">
        <f>10+108+18</f>
        <v>136</v>
      </c>
      <c r="AL14" s="1">
        <v>372</v>
      </c>
      <c r="AM14" s="1">
        <v>3070</v>
      </c>
      <c r="AN14" s="1">
        <v>4180</v>
      </c>
      <c r="AO14" s="8">
        <f>24+16+15</f>
        <v>55</v>
      </c>
      <c r="AQ14" s="1">
        <v>537</v>
      </c>
      <c r="AR14" s="1">
        <v>4247</v>
      </c>
      <c r="AS14" s="1">
        <v>1736</v>
      </c>
      <c r="AT14" s="8">
        <f>77+28+27</f>
        <v>132</v>
      </c>
      <c r="AU14">
        <v>2</v>
      </c>
      <c r="AV14" s="1">
        <v>1305</v>
      </c>
      <c r="AW14" s="1">
        <v>781</v>
      </c>
      <c r="AX14" s="1">
        <v>4372</v>
      </c>
      <c r="AY14" s="8">
        <f>19+65+59</f>
        <v>143</v>
      </c>
      <c r="BA14" s="1">
        <v>1629</v>
      </c>
      <c r="BB14" s="1">
        <v>4269</v>
      </c>
      <c r="BC14" s="1">
        <v>4085</v>
      </c>
      <c r="BD14" s="8">
        <f>97+55+62</f>
        <v>214</v>
      </c>
      <c r="BF14" s="1">
        <v>233</v>
      </c>
      <c r="BG14" s="1">
        <v>3780</v>
      </c>
      <c r="BH14" s="1">
        <v>3927</v>
      </c>
      <c r="BI14" s="8">
        <f>90+17+33</f>
        <v>140</v>
      </c>
      <c r="BJ14">
        <v>2</v>
      </c>
      <c r="BK14" s="1">
        <v>2337</v>
      </c>
      <c r="BL14" s="1">
        <v>4216</v>
      </c>
      <c r="BM14" s="1">
        <v>830</v>
      </c>
      <c r="BN14" s="8">
        <f>79+20+40</f>
        <v>139</v>
      </c>
      <c r="BO14">
        <v>2</v>
      </c>
      <c r="BP14" s="1">
        <v>245</v>
      </c>
      <c r="BQ14" s="1">
        <v>94</v>
      </c>
      <c r="BR14" s="1">
        <v>858</v>
      </c>
      <c r="BS14" s="8">
        <f>55+65+47</f>
        <v>167</v>
      </c>
      <c r="BT14">
        <v>1</v>
      </c>
      <c r="BU14" s="1">
        <v>365</v>
      </c>
      <c r="BV14" s="1">
        <v>272</v>
      </c>
      <c r="BW14" s="1">
        <v>2590</v>
      </c>
      <c r="BX14" s="8">
        <f>105+24+113</f>
        <v>242</v>
      </c>
      <c r="BY14">
        <f t="shared" si="0"/>
        <v>2000</v>
      </c>
    </row>
    <row r="15" spans="1:77" x14ac:dyDescent="0.25">
      <c r="AJ15" s="15"/>
    </row>
    <row r="69" spans="4:4" x14ac:dyDescent="0.25">
      <c r="D69" t="s">
        <v>103</v>
      </c>
    </row>
  </sheetData>
  <mergeCells count="15">
    <mergeCell ref="BT1:BX1"/>
    <mergeCell ref="BJ1:BN1"/>
    <mergeCell ref="B1:F1"/>
    <mergeCell ref="BE1:BI1"/>
    <mergeCell ref="AU1:AY1"/>
    <mergeCell ref="AZ1:BD1"/>
    <mergeCell ref="G1:K1"/>
    <mergeCell ref="L1:P1"/>
    <mergeCell ref="Q1:U1"/>
    <mergeCell ref="V1:Z1"/>
    <mergeCell ref="AA1:AE1"/>
    <mergeCell ref="AF1:AJ1"/>
    <mergeCell ref="AK1:AO1"/>
    <mergeCell ref="AP1:AT1"/>
    <mergeCell ref="BO1:BS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7"/>
  <sheetViews>
    <sheetView zoomScaleNormal="100" workbookViewId="0">
      <pane xSplit="1" topLeftCell="BF1" activePane="topRight" state="frozen"/>
      <selection pane="topRight" activeCell="BM11" sqref="BM11"/>
    </sheetView>
  </sheetViews>
  <sheetFormatPr defaultRowHeight="15" x14ac:dyDescent="0.25"/>
  <sheetData>
    <row r="1" spans="1:72" x14ac:dyDescent="0.25">
      <c r="B1" s="19" t="s">
        <v>107</v>
      </c>
      <c r="C1" s="19"/>
      <c r="D1" s="19"/>
      <c r="E1" s="19"/>
      <c r="F1" s="19"/>
      <c r="G1" s="19" t="s">
        <v>80</v>
      </c>
      <c r="H1" s="19"/>
      <c r="I1" s="19"/>
      <c r="J1" s="19"/>
      <c r="K1" s="19"/>
      <c r="L1" s="19" t="s">
        <v>81</v>
      </c>
      <c r="M1" s="19"/>
      <c r="N1" s="19"/>
      <c r="O1" s="19"/>
      <c r="P1" s="19"/>
      <c r="Q1" s="19" t="s">
        <v>84</v>
      </c>
      <c r="R1" s="19"/>
      <c r="S1" s="19"/>
      <c r="T1" s="19"/>
      <c r="U1" s="19"/>
      <c r="V1" s="19" t="s">
        <v>85</v>
      </c>
      <c r="W1" s="19"/>
      <c r="X1" s="19"/>
      <c r="Y1" s="19"/>
      <c r="Z1" s="19"/>
      <c r="AA1" s="19" t="s">
        <v>86</v>
      </c>
      <c r="AB1" s="19"/>
      <c r="AC1" s="19"/>
      <c r="AD1" s="19"/>
      <c r="AE1" s="19"/>
      <c r="AF1" s="19" t="s">
        <v>87</v>
      </c>
      <c r="AG1" s="19"/>
      <c r="AH1" s="19"/>
      <c r="AI1" s="19"/>
      <c r="AJ1" s="19"/>
      <c r="AK1" s="19" t="s">
        <v>88</v>
      </c>
      <c r="AL1" s="19"/>
      <c r="AM1" s="19"/>
      <c r="AN1" s="19"/>
      <c r="AO1" s="19"/>
      <c r="AP1" s="19" t="s">
        <v>89</v>
      </c>
      <c r="AQ1" s="19"/>
      <c r="AR1" s="19"/>
      <c r="AS1" s="19"/>
      <c r="AT1" s="19"/>
      <c r="AU1" s="19" t="s">
        <v>90</v>
      </c>
      <c r="AV1" s="19"/>
      <c r="AW1" s="19"/>
      <c r="AX1" s="19"/>
      <c r="AY1" s="19"/>
      <c r="AZ1" s="19" t="s">
        <v>91</v>
      </c>
      <c r="BA1" s="19"/>
      <c r="BB1" s="19"/>
      <c r="BC1" s="19"/>
      <c r="BD1" s="19"/>
      <c r="BE1" s="19" t="s">
        <v>92</v>
      </c>
      <c r="BF1" s="19"/>
      <c r="BG1" s="19"/>
      <c r="BH1" s="19"/>
      <c r="BI1" s="19"/>
      <c r="BJ1" s="19" t="s">
        <v>93</v>
      </c>
      <c r="BK1" s="19"/>
      <c r="BL1" s="19"/>
      <c r="BM1" s="19"/>
      <c r="BN1" s="19"/>
      <c r="BO1" s="19" t="s">
        <v>94</v>
      </c>
      <c r="BP1" s="19"/>
      <c r="BQ1" s="19"/>
      <c r="BR1" s="19"/>
      <c r="BS1" s="19"/>
      <c r="BT1" t="s">
        <v>34</v>
      </c>
    </row>
    <row r="2" spans="1:72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2</v>
      </c>
      <c r="AG2" t="s">
        <v>3</v>
      </c>
      <c r="AH2" t="s">
        <v>4</v>
      </c>
      <c r="AI2" t="s">
        <v>5</v>
      </c>
      <c r="AJ2" t="s">
        <v>27</v>
      </c>
      <c r="AK2" t="s">
        <v>2</v>
      </c>
      <c r="AL2" t="s">
        <v>3</v>
      </c>
      <c r="AM2" t="s">
        <v>4</v>
      </c>
      <c r="AN2" t="s">
        <v>5</v>
      </c>
      <c r="AO2" t="s">
        <v>27</v>
      </c>
      <c r="AP2" t="s">
        <v>2</v>
      </c>
      <c r="AQ2" t="s">
        <v>3</v>
      </c>
      <c r="AR2" t="s">
        <v>4</v>
      </c>
      <c r="AS2" t="s">
        <v>5</v>
      </c>
      <c r="AT2" t="s">
        <v>27</v>
      </c>
      <c r="AU2" t="s">
        <v>2</v>
      </c>
      <c r="AV2" t="s">
        <v>3</v>
      </c>
      <c r="AW2" t="s">
        <v>4</v>
      </c>
      <c r="AX2" t="s">
        <v>5</v>
      </c>
      <c r="AY2" t="s">
        <v>27</v>
      </c>
      <c r="AZ2" t="s">
        <v>2</v>
      </c>
      <c r="BA2" t="s">
        <v>3</v>
      </c>
      <c r="BB2" t="s">
        <v>4</v>
      </c>
      <c r="BC2" t="s">
        <v>5</v>
      </c>
      <c r="BD2" t="s">
        <v>27</v>
      </c>
      <c r="BE2" t="s">
        <v>2</v>
      </c>
      <c r="BF2" t="s">
        <v>3</v>
      </c>
      <c r="BG2" t="s">
        <v>4</v>
      </c>
      <c r="BH2" t="s">
        <v>5</v>
      </c>
      <c r="BI2" t="s">
        <v>27</v>
      </c>
      <c r="BJ2" t="s">
        <v>2</v>
      </c>
      <c r="BK2" t="s">
        <v>3</v>
      </c>
      <c r="BL2" t="s">
        <v>4</v>
      </c>
      <c r="BM2" t="s">
        <v>5</v>
      </c>
      <c r="BN2" t="s">
        <v>27</v>
      </c>
      <c r="BO2" t="s">
        <v>2</v>
      </c>
      <c r="BP2" t="s">
        <v>3</v>
      </c>
      <c r="BQ2" t="s">
        <v>4</v>
      </c>
      <c r="BR2" t="s">
        <v>5</v>
      </c>
      <c r="BS2" t="s">
        <v>27</v>
      </c>
    </row>
    <row r="3" spans="1:72" x14ac:dyDescent="0.25">
      <c r="A3" t="s">
        <v>14</v>
      </c>
      <c r="C3" s="1">
        <v>395</v>
      </c>
      <c r="D3" s="1">
        <v>612</v>
      </c>
      <c r="E3" s="13">
        <v>4137</v>
      </c>
      <c r="F3" s="6">
        <f>10+23+15</f>
        <v>48</v>
      </c>
      <c r="H3" s="1">
        <v>111</v>
      </c>
      <c r="I3" s="1">
        <v>3610</v>
      </c>
      <c r="J3" s="1">
        <v>4397</v>
      </c>
      <c r="K3" s="6">
        <f>96+8+7</f>
        <v>111</v>
      </c>
      <c r="M3" s="1">
        <v>4229</v>
      </c>
      <c r="N3" s="1">
        <v>2531</v>
      </c>
      <c r="O3" s="1">
        <v>2450</v>
      </c>
      <c r="P3" s="6">
        <f>6+10+30</f>
        <v>46</v>
      </c>
      <c r="R3" s="1">
        <v>1241</v>
      </c>
      <c r="S3" s="1">
        <v>1846</v>
      </c>
      <c r="T3" s="1">
        <v>4367</v>
      </c>
      <c r="U3" s="6">
        <f>108+13+24</f>
        <v>145</v>
      </c>
      <c r="W3" s="1">
        <v>1538</v>
      </c>
      <c r="X3" s="1">
        <v>1156</v>
      </c>
      <c r="Y3" s="1">
        <v>4255</v>
      </c>
      <c r="Z3" s="6">
        <f>50+16+16</f>
        <v>82</v>
      </c>
      <c r="AB3" s="1">
        <v>118</v>
      </c>
      <c r="AC3" s="1">
        <v>1559</v>
      </c>
      <c r="AD3" s="1">
        <v>126</v>
      </c>
      <c r="AE3" s="6">
        <f>64+18+32</f>
        <v>114</v>
      </c>
      <c r="AG3" s="1">
        <v>386</v>
      </c>
      <c r="AH3" s="1">
        <v>1251</v>
      </c>
      <c r="AI3" s="1">
        <v>168</v>
      </c>
      <c r="AJ3" s="6">
        <f>34+58+14</f>
        <v>106</v>
      </c>
      <c r="AL3" s="1">
        <v>810</v>
      </c>
      <c r="AM3" s="1">
        <v>2010</v>
      </c>
      <c r="AN3" s="1">
        <v>569</v>
      </c>
      <c r="AO3" s="6">
        <f>17+27+27</f>
        <v>71</v>
      </c>
      <c r="AQ3" s="1">
        <v>4349</v>
      </c>
      <c r="AR3" s="1">
        <v>3463</v>
      </c>
      <c r="AS3" s="1">
        <v>3593</v>
      </c>
      <c r="AT3" s="6">
        <f>11+8+14</f>
        <v>33</v>
      </c>
      <c r="AV3" s="1">
        <v>4364</v>
      </c>
      <c r="AW3" s="1">
        <v>4359</v>
      </c>
      <c r="AX3" s="1">
        <v>4350</v>
      </c>
      <c r="AY3" s="6">
        <f>12+8+24</f>
        <v>44</v>
      </c>
      <c r="BA3" s="1">
        <v>4076</v>
      </c>
      <c r="BB3" s="1">
        <v>3305</v>
      </c>
      <c r="BC3" s="1">
        <v>2747</v>
      </c>
      <c r="BD3" s="6">
        <f>12+28+11</f>
        <v>51</v>
      </c>
      <c r="BF3" s="1">
        <v>1701</v>
      </c>
      <c r="BG3" s="1">
        <v>3322</v>
      </c>
      <c r="BH3" s="1">
        <v>3604</v>
      </c>
      <c r="BI3" s="6">
        <f>33+109+28</f>
        <v>170</v>
      </c>
      <c r="BK3" s="1">
        <v>1718</v>
      </c>
      <c r="BL3" s="1">
        <v>288</v>
      </c>
      <c r="BM3" s="1">
        <v>3657</v>
      </c>
      <c r="BN3" s="6">
        <f>75+54+39</f>
        <v>168</v>
      </c>
      <c r="BP3" s="1">
        <v>103</v>
      </c>
      <c r="BQ3" s="1">
        <v>1672</v>
      </c>
      <c r="BR3" s="1">
        <v>613</v>
      </c>
      <c r="BS3" s="6">
        <f>81+38+27</f>
        <v>146</v>
      </c>
      <c r="BT3">
        <f>SUM(BS3,BN3,BI3,BD3,AY3,AT3,AO3,AJ3,AE3,Z3,U3,P3,K3,F3)</f>
        <v>1335</v>
      </c>
    </row>
    <row r="4" spans="1:72" x14ac:dyDescent="0.25">
      <c r="A4" t="s">
        <v>15</v>
      </c>
      <c r="C4" s="1">
        <v>3123</v>
      </c>
      <c r="D4" s="1">
        <v>1747</v>
      </c>
      <c r="E4" s="1">
        <v>1731</v>
      </c>
      <c r="F4" s="7">
        <f>42+20+42</f>
        <v>104</v>
      </c>
      <c r="H4" s="1">
        <v>3278</v>
      </c>
      <c r="I4" s="1">
        <v>3690</v>
      </c>
      <c r="J4" s="1">
        <v>3691</v>
      </c>
      <c r="K4" s="7">
        <f>13+10+8</f>
        <v>31</v>
      </c>
      <c r="M4" s="1">
        <v>3765</v>
      </c>
      <c r="N4" s="1">
        <v>3642</v>
      </c>
      <c r="O4" s="1">
        <v>3299</v>
      </c>
      <c r="P4" s="7">
        <f>9+12+14</f>
        <v>35</v>
      </c>
      <c r="R4" s="1">
        <v>3571</v>
      </c>
      <c r="S4" s="1">
        <v>1334</v>
      </c>
      <c r="T4" s="1">
        <v>3705</v>
      </c>
      <c r="U4" s="7">
        <f>20+51+25</f>
        <v>96</v>
      </c>
      <c r="W4" s="1">
        <v>1868</v>
      </c>
      <c r="X4" s="1">
        <v>1458</v>
      </c>
      <c r="Y4" s="1">
        <v>2073</v>
      </c>
      <c r="Z4" s="7">
        <f>85+16+26</f>
        <v>127</v>
      </c>
      <c r="AB4" s="1">
        <v>1124</v>
      </c>
      <c r="AC4" s="1">
        <v>4055</v>
      </c>
      <c r="AD4" s="1">
        <v>1071</v>
      </c>
      <c r="AE4" s="7">
        <f>20+44+68</f>
        <v>132</v>
      </c>
      <c r="AG4" s="1">
        <v>1065</v>
      </c>
      <c r="AH4" s="1">
        <v>1557</v>
      </c>
      <c r="AI4" s="1">
        <v>3520</v>
      </c>
      <c r="AJ4" s="7">
        <f>77+59+16</f>
        <v>152</v>
      </c>
      <c r="AL4" s="1">
        <v>271</v>
      </c>
      <c r="AM4" s="1">
        <v>3137</v>
      </c>
      <c r="AN4" s="1">
        <v>514</v>
      </c>
      <c r="AO4" s="7">
        <f>36+76+14</f>
        <v>126</v>
      </c>
      <c r="AQ4" s="1">
        <v>1742</v>
      </c>
      <c r="AR4" s="1">
        <v>2410</v>
      </c>
      <c r="AS4" s="1">
        <v>3457</v>
      </c>
      <c r="AT4" s="7">
        <f>29+20+6</f>
        <v>55</v>
      </c>
      <c r="AV4" s="1">
        <v>1817</v>
      </c>
      <c r="AW4" s="1">
        <v>3795</v>
      </c>
      <c r="AX4" s="1">
        <v>3697</v>
      </c>
      <c r="AY4" s="7">
        <f>89+11+8</f>
        <v>108</v>
      </c>
      <c r="BA4" s="1">
        <v>1429</v>
      </c>
      <c r="BB4" s="1">
        <v>3791</v>
      </c>
      <c r="BC4" s="1">
        <v>3626</v>
      </c>
      <c r="BD4" s="7">
        <f>80+8+11</f>
        <v>99</v>
      </c>
      <c r="BF4" s="1">
        <v>3542</v>
      </c>
      <c r="BG4" s="1">
        <v>123</v>
      </c>
      <c r="BH4" s="1">
        <v>3773</v>
      </c>
      <c r="BI4" s="7">
        <f>31+62+24</f>
        <v>117</v>
      </c>
      <c r="BK4" s="1">
        <v>67</v>
      </c>
      <c r="BL4" s="1">
        <v>226</v>
      </c>
      <c r="BM4" s="1">
        <v>1188</v>
      </c>
      <c r="BN4" s="7">
        <f>122+40+26</f>
        <v>188</v>
      </c>
      <c r="BP4" s="1">
        <v>25</v>
      </c>
      <c r="BQ4" s="1">
        <v>3929</v>
      </c>
      <c r="BR4" s="1">
        <v>3515</v>
      </c>
      <c r="BS4" s="7">
        <f>93+76+14</f>
        <v>183</v>
      </c>
      <c r="BT4">
        <f>SUM(BS4,BN4,BI4,BD4,AY4,AT4,AO4,AJ4,AE4,Z4,U4,P4,K4,F4)</f>
        <v>1553</v>
      </c>
    </row>
    <row r="5" spans="1:72" x14ac:dyDescent="0.25">
      <c r="A5" t="s">
        <v>16</v>
      </c>
      <c r="C5" s="1">
        <v>87</v>
      </c>
      <c r="D5" s="13">
        <v>2963</v>
      </c>
      <c r="E5" s="1">
        <v>134</v>
      </c>
      <c r="F5" s="7">
        <f>16+10+25</f>
        <v>51</v>
      </c>
      <c r="H5" s="1">
        <v>4226</v>
      </c>
      <c r="I5" s="1">
        <v>2491</v>
      </c>
      <c r="J5" s="1">
        <v>3848</v>
      </c>
      <c r="K5" s="7">
        <f>81+35+10</f>
        <v>126</v>
      </c>
      <c r="M5" s="1">
        <v>2705</v>
      </c>
      <c r="N5" s="1">
        <v>3407</v>
      </c>
      <c r="O5" s="1">
        <v>3454</v>
      </c>
      <c r="P5" s="7">
        <f>18+13+20</f>
        <v>51</v>
      </c>
      <c r="R5" s="1">
        <v>2056</v>
      </c>
      <c r="S5" s="1">
        <v>2386</v>
      </c>
      <c r="T5" s="1">
        <v>1835</v>
      </c>
      <c r="U5" s="7">
        <f>96+42+18</f>
        <v>156</v>
      </c>
      <c r="W5" s="1">
        <v>100</v>
      </c>
      <c r="X5" s="1">
        <v>192</v>
      </c>
      <c r="Y5" s="1">
        <v>4186</v>
      </c>
      <c r="Z5" s="7">
        <f>24+22+25</f>
        <v>71</v>
      </c>
      <c r="AB5" s="1">
        <v>175</v>
      </c>
      <c r="AC5" s="1">
        <v>195</v>
      </c>
      <c r="AD5" s="1">
        <v>181</v>
      </c>
      <c r="AE5" s="7">
        <f>34+92+71</f>
        <v>197</v>
      </c>
      <c r="AG5" s="1">
        <v>1592</v>
      </c>
      <c r="AH5" s="1">
        <v>1735</v>
      </c>
      <c r="AI5" s="1">
        <v>3653</v>
      </c>
      <c r="AJ5" s="7">
        <f>88+30+44</f>
        <v>162</v>
      </c>
      <c r="AL5" s="1">
        <v>1808</v>
      </c>
      <c r="AM5" s="1">
        <v>1601</v>
      </c>
      <c r="AN5" s="1">
        <v>2875</v>
      </c>
      <c r="AO5" s="7">
        <f>15+13+44</f>
        <v>72</v>
      </c>
      <c r="AQ5" s="1">
        <v>2359</v>
      </c>
      <c r="AR5" s="13">
        <v>2765</v>
      </c>
      <c r="AS5" s="1">
        <v>1209</v>
      </c>
      <c r="AT5" s="7">
        <f>14+8+12</f>
        <v>34</v>
      </c>
      <c r="AV5" s="1">
        <v>148</v>
      </c>
      <c r="AW5" s="1">
        <v>4315</v>
      </c>
      <c r="AX5" s="1">
        <v>3370</v>
      </c>
      <c r="AY5" s="7">
        <f>99+9+21</f>
        <v>129</v>
      </c>
      <c r="BA5" s="1">
        <v>1421</v>
      </c>
      <c r="BB5" s="1">
        <v>3802</v>
      </c>
      <c r="BC5" s="13">
        <v>3043</v>
      </c>
      <c r="BD5" s="7">
        <f>46+18+12</f>
        <v>76</v>
      </c>
      <c r="BF5" s="1">
        <v>1023</v>
      </c>
      <c r="BG5" s="1">
        <v>818</v>
      </c>
      <c r="BH5" s="1">
        <v>240</v>
      </c>
      <c r="BI5" s="7">
        <f>110+20+41</f>
        <v>171</v>
      </c>
      <c r="BK5" s="1">
        <v>33</v>
      </c>
      <c r="BL5" s="1">
        <v>3302</v>
      </c>
      <c r="BM5" s="1">
        <v>2851</v>
      </c>
      <c r="BN5" s="7">
        <f>84+37+48</f>
        <v>169</v>
      </c>
      <c r="BP5" s="1">
        <v>2577</v>
      </c>
      <c r="BQ5" s="1">
        <v>3142</v>
      </c>
      <c r="BR5" s="1">
        <v>219</v>
      </c>
      <c r="BS5" s="7">
        <f>27+78+25</f>
        <v>130</v>
      </c>
      <c r="BT5">
        <f t="shared" ref="BT5:BT14" si="0">SUM(BS5,BN5,BI5,BD5,AY5,AT5,AO5,AJ5,AE5,Z5,U5,P5,K5,F5)</f>
        <v>1595</v>
      </c>
    </row>
    <row r="6" spans="1:72" x14ac:dyDescent="0.25">
      <c r="A6" t="s">
        <v>17</v>
      </c>
      <c r="C6" s="1">
        <v>1218</v>
      </c>
      <c r="D6" s="1">
        <v>888</v>
      </c>
      <c r="E6" s="1">
        <v>1885</v>
      </c>
      <c r="F6" s="7">
        <f>98+20+51</f>
        <v>169</v>
      </c>
      <c r="H6" s="1">
        <v>1816</v>
      </c>
      <c r="I6" s="1">
        <v>2472</v>
      </c>
      <c r="J6" s="1">
        <v>4239</v>
      </c>
      <c r="K6" s="7">
        <f>89+32+11</f>
        <v>132</v>
      </c>
      <c r="M6" s="1">
        <v>525</v>
      </c>
      <c r="N6" s="1">
        <v>2879</v>
      </c>
      <c r="O6" s="1">
        <v>2846</v>
      </c>
      <c r="P6" s="7">
        <f>79+5+28</f>
        <v>112</v>
      </c>
      <c r="R6" s="1">
        <v>1310</v>
      </c>
      <c r="S6" s="1">
        <v>3933</v>
      </c>
      <c r="T6" s="1">
        <v>4094</v>
      </c>
      <c r="U6" s="7">
        <f>65+15+25</f>
        <v>105</v>
      </c>
      <c r="W6" s="1">
        <v>2035</v>
      </c>
      <c r="X6" s="1">
        <v>2144</v>
      </c>
      <c r="Y6" s="1">
        <v>8</v>
      </c>
      <c r="Z6" s="7">
        <f>47+20+36</f>
        <v>103</v>
      </c>
      <c r="AB6" s="1">
        <v>1511</v>
      </c>
      <c r="AC6" s="1">
        <v>2168</v>
      </c>
      <c r="AD6" s="1">
        <v>173</v>
      </c>
      <c r="AE6" s="7">
        <f>64+68+38</f>
        <v>170</v>
      </c>
      <c r="AG6" s="1">
        <v>79</v>
      </c>
      <c r="AH6" s="1">
        <v>3992</v>
      </c>
      <c r="AI6" s="1">
        <v>3932</v>
      </c>
      <c r="AJ6" s="7">
        <f>104+26+58</f>
        <v>188</v>
      </c>
      <c r="AL6" s="1">
        <v>3950</v>
      </c>
      <c r="AM6" s="13">
        <v>3460</v>
      </c>
      <c r="AN6" s="1">
        <v>3624</v>
      </c>
      <c r="AO6" s="7">
        <f>38+20+15</f>
        <v>73</v>
      </c>
      <c r="AQ6" s="1">
        <v>2354</v>
      </c>
      <c r="AR6" s="1">
        <v>4005</v>
      </c>
      <c r="AS6" s="1">
        <v>2004</v>
      </c>
      <c r="AT6" s="7">
        <f>13+17+12</f>
        <v>42</v>
      </c>
      <c r="AV6" s="1">
        <v>3481</v>
      </c>
      <c r="AW6" s="1">
        <v>3867</v>
      </c>
      <c r="AX6" s="1">
        <v>4355</v>
      </c>
      <c r="AY6" s="7">
        <f>79+4+21</f>
        <v>104</v>
      </c>
      <c r="BA6" s="1">
        <v>704</v>
      </c>
      <c r="BB6" s="1">
        <v>4401</v>
      </c>
      <c r="BC6" s="1">
        <v>4317</v>
      </c>
      <c r="BD6" s="7">
        <f>34+27+24</f>
        <v>85</v>
      </c>
      <c r="BF6" s="1">
        <v>2137</v>
      </c>
      <c r="BG6" s="1">
        <v>3096</v>
      </c>
      <c r="BH6" s="1">
        <v>2676</v>
      </c>
      <c r="BI6" s="7">
        <f>92+48+20</f>
        <v>160</v>
      </c>
      <c r="BK6" s="1">
        <v>3548</v>
      </c>
      <c r="BL6" s="13">
        <v>244</v>
      </c>
      <c r="BM6" s="1">
        <v>468</v>
      </c>
      <c r="BN6" s="7">
        <f>26+81+16</f>
        <v>123</v>
      </c>
      <c r="BP6" s="1">
        <v>1279</v>
      </c>
      <c r="BQ6" s="1">
        <v>1923</v>
      </c>
      <c r="BR6" s="1">
        <v>555</v>
      </c>
      <c r="BS6" s="7">
        <f>48+28+31</f>
        <v>107</v>
      </c>
      <c r="BT6">
        <f t="shared" si="0"/>
        <v>1673</v>
      </c>
    </row>
    <row r="7" spans="1:72" x14ac:dyDescent="0.25">
      <c r="A7" t="s">
        <v>18</v>
      </c>
      <c r="C7" s="1">
        <v>116</v>
      </c>
      <c r="D7" s="1">
        <v>836</v>
      </c>
      <c r="E7" s="1">
        <v>623</v>
      </c>
      <c r="F7" s="7">
        <f>47+84+16</f>
        <v>147</v>
      </c>
      <c r="H7" s="1">
        <v>2175</v>
      </c>
      <c r="I7" s="1">
        <v>3883</v>
      </c>
      <c r="J7" s="1">
        <v>3023</v>
      </c>
      <c r="K7" s="7">
        <f>37+22+15</f>
        <v>74</v>
      </c>
      <c r="M7" s="1">
        <v>2052</v>
      </c>
      <c r="N7" s="1">
        <v>2667</v>
      </c>
      <c r="O7" s="1">
        <v>2511</v>
      </c>
      <c r="P7" s="7">
        <f>65+4+10</f>
        <v>79</v>
      </c>
      <c r="R7" s="1">
        <v>1305</v>
      </c>
      <c r="S7" s="1">
        <v>772</v>
      </c>
      <c r="T7" s="1">
        <v>854</v>
      </c>
      <c r="U7" s="7">
        <f>64+24+17</f>
        <v>105</v>
      </c>
      <c r="W7" s="1">
        <v>971</v>
      </c>
      <c r="X7" s="1">
        <v>846</v>
      </c>
      <c r="Y7" s="1">
        <v>2854</v>
      </c>
      <c r="Z7" s="7">
        <f>96+44+18</f>
        <v>158</v>
      </c>
      <c r="AB7" s="1">
        <v>694</v>
      </c>
      <c r="AC7" s="1">
        <v>236</v>
      </c>
      <c r="AD7" s="1">
        <v>571</v>
      </c>
      <c r="AE7" s="7">
        <f>81+34+18</f>
        <v>133</v>
      </c>
      <c r="AG7" s="1">
        <v>744</v>
      </c>
      <c r="AH7" s="1">
        <v>4013</v>
      </c>
      <c r="AI7" s="1">
        <v>4052</v>
      </c>
      <c r="AJ7" s="7">
        <f>37+10+22</f>
        <v>69</v>
      </c>
      <c r="AL7" s="1">
        <v>270</v>
      </c>
      <c r="AM7" s="1">
        <v>871</v>
      </c>
      <c r="AN7" s="1">
        <v>2487</v>
      </c>
      <c r="AO7" s="7">
        <f>12+12+17</f>
        <v>41</v>
      </c>
      <c r="AQ7" s="1">
        <v>1806</v>
      </c>
      <c r="AR7" s="1">
        <v>2352</v>
      </c>
      <c r="AS7" s="1">
        <v>2986</v>
      </c>
      <c r="AT7" s="7">
        <f>47+26+14</f>
        <v>87</v>
      </c>
      <c r="AV7" s="1">
        <v>1745</v>
      </c>
      <c r="AW7" s="1">
        <v>3005</v>
      </c>
      <c r="AX7" s="1">
        <v>3497</v>
      </c>
      <c r="AY7" s="7">
        <f>10+28+12</f>
        <v>50</v>
      </c>
      <c r="BA7" s="1">
        <v>2848</v>
      </c>
      <c r="BB7" s="1">
        <v>3730</v>
      </c>
      <c r="BC7" s="1">
        <v>1774</v>
      </c>
      <c r="BD7" s="7">
        <f>64+28+13</f>
        <v>105</v>
      </c>
      <c r="BF7" s="1">
        <v>247</v>
      </c>
      <c r="BG7" s="1">
        <v>862</v>
      </c>
      <c r="BH7" s="1">
        <v>3534</v>
      </c>
      <c r="BI7" s="7">
        <f>34+61+71</f>
        <v>166</v>
      </c>
      <c r="BK7" s="1">
        <v>469</v>
      </c>
      <c r="BL7" s="1">
        <v>894</v>
      </c>
      <c r="BM7" s="1">
        <v>216</v>
      </c>
      <c r="BN7" s="7">
        <f>109+22+54</f>
        <v>185</v>
      </c>
      <c r="BP7" s="1">
        <v>56</v>
      </c>
      <c r="BQ7" s="1">
        <v>303</v>
      </c>
      <c r="BR7" s="1">
        <v>204</v>
      </c>
      <c r="BS7" s="7">
        <f>59+34+39</f>
        <v>132</v>
      </c>
      <c r="BT7">
        <f t="shared" si="0"/>
        <v>1531</v>
      </c>
    </row>
    <row r="8" spans="1:72" x14ac:dyDescent="0.25">
      <c r="A8" t="s">
        <v>19</v>
      </c>
      <c r="C8" s="1">
        <v>2377</v>
      </c>
      <c r="D8" s="1">
        <v>1646</v>
      </c>
      <c r="E8" s="1">
        <v>1849</v>
      </c>
      <c r="F8" s="7">
        <f>20+31+16</f>
        <v>67</v>
      </c>
      <c r="H8" s="1">
        <v>171</v>
      </c>
      <c r="I8" s="1">
        <v>4198</v>
      </c>
      <c r="J8" s="1">
        <v>2225</v>
      </c>
      <c r="K8" s="7">
        <f>28+19+8</f>
        <v>55</v>
      </c>
      <c r="M8" s="1">
        <v>2861</v>
      </c>
      <c r="N8" s="1">
        <v>2181</v>
      </c>
      <c r="O8" s="1">
        <v>2502</v>
      </c>
      <c r="P8" s="7">
        <f>30+9+16</f>
        <v>55</v>
      </c>
      <c r="R8" s="1">
        <v>1075</v>
      </c>
      <c r="S8" s="1">
        <v>4250</v>
      </c>
      <c r="T8" s="1">
        <v>1246</v>
      </c>
      <c r="U8" s="7">
        <f>20+18+20</f>
        <v>58</v>
      </c>
      <c r="W8" s="1">
        <v>3256</v>
      </c>
      <c r="X8" s="1">
        <v>675</v>
      </c>
      <c r="Y8" s="1">
        <v>2367</v>
      </c>
      <c r="Z8" s="7">
        <f>80+13+15</f>
        <v>108</v>
      </c>
      <c r="AB8" s="1">
        <v>230</v>
      </c>
      <c r="AC8" s="1">
        <v>558</v>
      </c>
      <c r="AD8" s="1">
        <v>2836</v>
      </c>
      <c r="AE8" s="7">
        <f>26+60+24</f>
        <v>110</v>
      </c>
      <c r="AG8" s="1">
        <v>348</v>
      </c>
      <c r="AH8" s="1">
        <v>3164</v>
      </c>
      <c r="AI8" s="1">
        <v>3410</v>
      </c>
      <c r="AJ8" s="7">
        <f>22+37+14</f>
        <v>73</v>
      </c>
      <c r="AL8" s="1">
        <v>353</v>
      </c>
      <c r="AM8" s="1">
        <v>533</v>
      </c>
      <c r="AN8" s="1">
        <v>3171</v>
      </c>
      <c r="AO8" s="7">
        <f>54+26+15</f>
        <v>95</v>
      </c>
      <c r="AQ8" s="1">
        <v>1939</v>
      </c>
      <c r="AR8" s="1">
        <v>3498</v>
      </c>
      <c r="AS8" s="1">
        <v>31</v>
      </c>
      <c r="AT8" s="7">
        <f>38+13+12</f>
        <v>63</v>
      </c>
      <c r="AV8" s="1">
        <v>16</v>
      </c>
      <c r="AW8" s="1">
        <v>3961</v>
      </c>
      <c r="AX8" s="1">
        <v>4351</v>
      </c>
      <c r="AY8" s="7">
        <f>114+7+27</f>
        <v>148</v>
      </c>
      <c r="BA8" s="1">
        <v>456</v>
      </c>
      <c r="BB8" s="13">
        <v>2943</v>
      </c>
      <c r="BC8" s="1">
        <v>3355</v>
      </c>
      <c r="BD8" s="7">
        <f>54+13+29</f>
        <v>96</v>
      </c>
      <c r="BF8" s="1">
        <v>27</v>
      </c>
      <c r="BG8" s="1">
        <v>3655</v>
      </c>
      <c r="BH8" s="1">
        <v>1998</v>
      </c>
      <c r="BI8" s="7">
        <f>92+20+20</f>
        <v>132</v>
      </c>
      <c r="BK8" s="1">
        <v>3539</v>
      </c>
      <c r="BL8" s="1">
        <v>2604</v>
      </c>
      <c r="BM8" s="1">
        <v>2960</v>
      </c>
      <c r="BN8" s="7">
        <f>61+56+30</f>
        <v>147</v>
      </c>
      <c r="BP8" s="1">
        <v>222</v>
      </c>
      <c r="BQ8" s="1">
        <v>4285</v>
      </c>
      <c r="BR8" s="1">
        <v>41</v>
      </c>
      <c r="BS8" s="7">
        <f>88+13+22</f>
        <v>123</v>
      </c>
      <c r="BT8">
        <f t="shared" si="0"/>
        <v>1330</v>
      </c>
    </row>
    <row r="9" spans="1:72" x14ac:dyDescent="0.25">
      <c r="A9" t="s">
        <v>20</v>
      </c>
      <c r="C9" s="1">
        <v>1915</v>
      </c>
      <c r="D9" s="13">
        <v>2900</v>
      </c>
      <c r="E9" s="1">
        <v>709</v>
      </c>
      <c r="F9" s="7">
        <f>11+23+13</f>
        <v>47</v>
      </c>
      <c r="H9" s="1">
        <v>1785</v>
      </c>
      <c r="I9" s="1">
        <v>3750</v>
      </c>
      <c r="J9" s="1">
        <v>3275</v>
      </c>
      <c r="K9" s="7">
        <f>4+10+14</f>
        <v>28</v>
      </c>
      <c r="M9" s="1">
        <v>2227</v>
      </c>
      <c r="N9" s="1">
        <v>3745</v>
      </c>
      <c r="O9" s="1">
        <v>2825</v>
      </c>
      <c r="P9" s="7">
        <f>22+6+26</f>
        <v>54</v>
      </c>
      <c r="R9" s="1">
        <v>2013</v>
      </c>
      <c r="S9" s="1">
        <v>2625</v>
      </c>
      <c r="T9" s="1">
        <v>2185</v>
      </c>
      <c r="U9" s="7">
        <f>26+20+30</f>
        <v>76</v>
      </c>
      <c r="W9" s="1">
        <v>1072</v>
      </c>
      <c r="X9" s="1">
        <v>3501</v>
      </c>
      <c r="Y9" s="1">
        <v>2643</v>
      </c>
      <c r="Z9" s="7">
        <f>23+14+15</f>
        <v>52</v>
      </c>
      <c r="AB9" s="1">
        <v>2067</v>
      </c>
      <c r="AC9" s="1">
        <v>3467</v>
      </c>
      <c r="AD9" s="1">
        <v>178</v>
      </c>
      <c r="AE9" s="7">
        <f>50+39+18</f>
        <v>107</v>
      </c>
      <c r="AG9" s="1">
        <v>4118</v>
      </c>
      <c r="AH9" s="1">
        <v>2425</v>
      </c>
      <c r="AI9" s="1">
        <v>59</v>
      </c>
      <c r="AJ9" s="7">
        <f>16+44+14</f>
        <v>74</v>
      </c>
      <c r="AL9" s="1">
        <v>4006</v>
      </c>
      <c r="AM9" s="1">
        <v>2347</v>
      </c>
      <c r="AN9" s="1">
        <v>3474</v>
      </c>
      <c r="AO9" s="7">
        <f>38+10+10</f>
        <v>58</v>
      </c>
      <c r="AQ9" s="1">
        <v>1561</v>
      </c>
      <c r="AR9" s="1">
        <v>2395</v>
      </c>
      <c r="AS9" s="1">
        <v>2435</v>
      </c>
      <c r="AT9" s="7">
        <f>37+61+20</f>
        <v>118</v>
      </c>
      <c r="AV9" s="1">
        <v>3037</v>
      </c>
      <c r="AW9" s="1">
        <v>3392</v>
      </c>
      <c r="AX9" s="1">
        <v>2897</v>
      </c>
      <c r="AY9" s="7">
        <f>24+11+29</f>
        <v>64</v>
      </c>
      <c r="BA9" s="1">
        <v>2805</v>
      </c>
      <c r="BB9" s="1">
        <v>3282</v>
      </c>
      <c r="BC9" s="1">
        <v>1642</v>
      </c>
      <c r="BD9" s="7">
        <f>22+14+9</f>
        <v>45</v>
      </c>
      <c r="BF9" s="1">
        <v>3605</v>
      </c>
      <c r="BG9" s="1">
        <v>3707</v>
      </c>
      <c r="BH9" s="1">
        <v>3414</v>
      </c>
      <c r="BI9" s="7">
        <f>27+28+32</f>
        <v>87</v>
      </c>
      <c r="BK9" s="1">
        <v>4395</v>
      </c>
      <c r="BL9" s="1">
        <v>3619</v>
      </c>
      <c r="BM9" s="1">
        <v>453</v>
      </c>
      <c r="BN9" s="7">
        <f>24+12+46</f>
        <v>82</v>
      </c>
      <c r="BP9" s="1">
        <v>896</v>
      </c>
      <c r="BQ9" s="1">
        <v>1989</v>
      </c>
      <c r="BR9" s="13">
        <v>752</v>
      </c>
      <c r="BS9" s="7">
        <f>18+18+18</f>
        <v>54</v>
      </c>
      <c r="BT9">
        <f t="shared" si="0"/>
        <v>946</v>
      </c>
    </row>
    <row r="10" spans="1:72" x14ac:dyDescent="0.25">
      <c r="A10" t="s">
        <v>21</v>
      </c>
      <c r="C10" s="1">
        <v>461</v>
      </c>
      <c r="D10" s="1">
        <v>4242</v>
      </c>
      <c r="E10" s="1">
        <v>768</v>
      </c>
      <c r="F10" s="7">
        <f>64+6+10</f>
        <v>80</v>
      </c>
      <c r="H10" s="1">
        <v>4182</v>
      </c>
      <c r="I10" s="1">
        <v>3277</v>
      </c>
      <c r="J10" s="1">
        <v>4225</v>
      </c>
      <c r="K10" s="7">
        <f>18+55+12</f>
        <v>85</v>
      </c>
      <c r="M10" s="1">
        <v>3082</v>
      </c>
      <c r="N10" s="1">
        <v>2500</v>
      </c>
      <c r="O10" s="1">
        <v>3038</v>
      </c>
      <c r="P10" s="7">
        <f>33+50+7</f>
        <v>90</v>
      </c>
      <c r="R10" s="1">
        <v>771</v>
      </c>
      <c r="S10" s="1">
        <v>3527</v>
      </c>
      <c r="T10" s="1">
        <v>1325</v>
      </c>
      <c r="U10" s="7">
        <f>36+12+14</f>
        <v>62</v>
      </c>
      <c r="W10" s="1">
        <v>115</v>
      </c>
      <c r="X10" s="1">
        <v>4047</v>
      </c>
      <c r="Y10" s="1">
        <v>114</v>
      </c>
      <c r="Z10" s="7">
        <f>26+25+37</f>
        <v>88</v>
      </c>
      <c r="AB10" s="1">
        <v>177</v>
      </c>
      <c r="AC10" s="1">
        <v>95</v>
      </c>
      <c r="AD10" s="1">
        <v>155</v>
      </c>
      <c r="AE10" s="7">
        <f>76+28+22</f>
        <v>126</v>
      </c>
      <c r="AG10" s="1">
        <v>179</v>
      </c>
      <c r="AH10" s="1">
        <v>3938</v>
      </c>
      <c r="AI10" s="1">
        <v>4224</v>
      </c>
      <c r="AJ10" s="7">
        <f>39+12+20</f>
        <v>71</v>
      </c>
      <c r="AL10" s="1">
        <v>2872</v>
      </c>
      <c r="AM10" s="1">
        <v>522</v>
      </c>
      <c r="AN10" s="1">
        <v>2638</v>
      </c>
      <c r="AO10" s="7">
        <f>26+48+68</f>
        <v>142</v>
      </c>
      <c r="AQ10" s="1">
        <v>1540</v>
      </c>
      <c r="AR10" s="1">
        <v>1750</v>
      </c>
      <c r="AS10" s="1">
        <v>2424</v>
      </c>
      <c r="AT10" s="7">
        <f>122+6+22</f>
        <v>150</v>
      </c>
      <c r="AV10" s="1">
        <v>3350</v>
      </c>
      <c r="AW10" s="1">
        <v>4090</v>
      </c>
      <c r="AX10" s="1">
        <v>4335</v>
      </c>
      <c r="AY10" s="7">
        <f>36+53+36</f>
        <v>125</v>
      </c>
      <c r="BA10" s="1">
        <v>1296</v>
      </c>
      <c r="BB10" s="1">
        <v>3310</v>
      </c>
      <c r="BC10" s="1">
        <v>3413</v>
      </c>
      <c r="BD10" s="7">
        <f>48+85+8</f>
        <v>141</v>
      </c>
      <c r="BF10" s="1">
        <v>2619</v>
      </c>
      <c r="BG10" s="1">
        <v>2620</v>
      </c>
      <c r="BH10" s="1">
        <v>3641</v>
      </c>
      <c r="BI10" s="7">
        <f>44+68+61</f>
        <v>173</v>
      </c>
      <c r="BK10" s="1">
        <v>1</v>
      </c>
      <c r="BL10" s="1">
        <v>4002</v>
      </c>
      <c r="BM10" s="1">
        <v>4380</v>
      </c>
      <c r="BN10" s="7">
        <f>20+76+28</f>
        <v>124</v>
      </c>
      <c r="BP10" s="1">
        <v>714</v>
      </c>
      <c r="BQ10" s="1">
        <v>3314</v>
      </c>
      <c r="BR10" s="1">
        <v>2600</v>
      </c>
      <c r="BS10" s="7">
        <f>50+39+20</f>
        <v>109</v>
      </c>
      <c r="BT10">
        <f t="shared" si="0"/>
        <v>1566</v>
      </c>
    </row>
    <row r="11" spans="1:72" x14ac:dyDescent="0.25">
      <c r="A11" t="s">
        <v>22</v>
      </c>
      <c r="C11" s="1">
        <v>141</v>
      </c>
      <c r="D11" s="1">
        <v>53</v>
      </c>
      <c r="E11" s="1">
        <v>4083</v>
      </c>
      <c r="F11" s="7">
        <f>43+16+38</f>
        <v>97</v>
      </c>
      <c r="H11" s="1">
        <v>2177</v>
      </c>
      <c r="I11" s="1">
        <v>3926</v>
      </c>
      <c r="J11" s="1">
        <v>4166</v>
      </c>
      <c r="K11" s="7">
        <f>35+29+11</f>
        <v>75</v>
      </c>
      <c r="M11" s="1">
        <v>4021</v>
      </c>
      <c r="N11" s="1">
        <v>3081</v>
      </c>
      <c r="O11" s="1">
        <v>2987</v>
      </c>
      <c r="P11" s="7">
        <f>44+56+20</f>
        <v>120</v>
      </c>
      <c r="R11" s="1">
        <v>2076</v>
      </c>
      <c r="S11" s="1">
        <v>4258</v>
      </c>
      <c r="T11" s="1">
        <v>3560</v>
      </c>
      <c r="U11" s="7">
        <f>16+15+20</f>
        <v>51</v>
      </c>
      <c r="W11" s="1">
        <v>604</v>
      </c>
      <c r="X11" s="1">
        <v>1351</v>
      </c>
      <c r="Y11" s="1">
        <v>4171</v>
      </c>
      <c r="Z11" s="7">
        <f>82+13+23</f>
        <v>118</v>
      </c>
      <c r="AB11" s="1">
        <v>20</v>
      </c>
      <c r="AC11" s="1">
        <v>1099</v>
      </c>
      <c r="AD11" s="1">
        <v>237</v>
      </c>
      <c r="AE11" s="7">
        <f>61+25+38</f>
        <v>124</v>
      </c>
      <c r="AG11" s="1">
        <v>180</v>
      </c>
      <c r="AH11" s="1">
        <v>801</v>
      </c>
      <c r="AI11" s="13">
        <v>2152</v>
      </c>
      <c r="AJ11" s="7">
        <f>116+50+0</f>
        <v>166</v>
      </c>
      <c r="AL11" s="1">
        <v>329</v>
      </c>
      <c r="AM11" s="1">
        <v>263</v>
      </c>
      <c r="AN11" s="1">
        <v>1554</v>
      </c>
      <c r="AO11" s="7">
        <f>67+34+18</f>
        <v>119</v>
      </c>
      <c r="AQ11" s="1">
        <v>3931</v>
      </c>
      <c r="AR11" s="1">
        <v>3937</v>
      </c>
      <c r="AS11" s="1">
        <v>3169</v>
      </c>
      <c r="AT11" s="7">
        <f>28+25+14</f>
        <v>67</v>
      </c>
      <c r="AV11" s="1">
        <v>4084</v>
      </c>
      <c r="AW11" s="1">
        <v>4138</v>
      </c>
      <c r="AX11" s="1">
        <v>4300</v>
      </c>
      <c r="AY11" s="7">
        <f>42+46+40</f>
        <v>128</v>
      </c>
      <c r="BA11" s="1">
        <v>935</v>
      </c>
      <c r="BB11" s="1">
        <v>4206</v>
      </c>
      <c r="BC11" s="1">
        <v>4298</v>
      </c>
      <c r="BD11" s="7">
        <f>107+59+6</f>
        <v>172</v>
      </c>
      <c r="BF11" s="13">
        <v>3421</v>
      </c>
      <c r="BG11" s="1">
        <v>815</v>
      </c>
      <c r="BH11" s="1">
        <v>2832</v>
      </c>
      <c r="BI11" s="7">
        <f>44+32+54</f>
        <v>130</v>
      </c>
      <c r="BK11" s="1">
        <v>245</v>
      </c>
      <c r="BL11" s="1">
        <v>548</v>
      </c>
      <c r="BM11" s="1">
        <v>1918</v>
      </c>
      <c r="BN11" s="7">
        <f>43+91+54</f>
        <v>188</v>
      </c>
      <c r="BP11" s="1">
        <v>11</v>
      </c>
      <c r="BQ11" s="1">
        <v>4035</v>
      </c>
      <c r="BR11" s="13">
        <v>2458</v>
      </c>
      <c r="BS11" s="7">
        <f>66+19+22</f>
        <v>107</v>
      </c>
      <c r="BT11">
        <f t="shared" si="0"/>
        <v>1662</v>
      </c>
    </row>
    <row r="12" spans="1:72" x14ac:dyDescent="0.25">
      <c r="A12" t="s">
        <v>23</v>
      </c>
      <c r="C12" s="1">
        <v>1418</v>
      </c>
      <c r="D12" s="1">
        <v>4099</v>
      </c>
      <c r="E12" s="1">
        <v>3279</v>
      </c>
      <c r="F12" s="7">
        <f>37+34+10</f>
        <v>81</v>
      </c>
      <c r="H12" s="1">
        <v>2549</v>
      </c>
      <c r="I12" s="1">
        <v>3298</v>
      </c>
      <c r="J12" s="1">
        <v>3026</v>
      </c>
      <c r="K12" s="7">
        <f>30+14+10</f>
        <v>54</v>
      </c>
      <c r="M12" s="1">
        <v>2530</v>
      </c>
      <c r="N12" s="1">
        <v>2498</v>
      </c>
      <c r="O12" s="1">
        <v>4207</v>
      </c>
      <c r="P12" s="7">
        <f>64+12+31</f>
        <v>107</v>
      </c>
      <c r="R12" s="1">
        <v>1114</v>
      </c>
      <c r="S12" s="1">
        <v>1009</v>
      </c>
      <c r="T12" s="1">
        <v>1482</v>
      </c>
      <c r="U12" s="7">
        <f>89+17+20</f>
        <v>126</v>
      </c>
      <c r="W12" s="1">
        <v>597</v>
      </c>
      <c r="X12" s="1">
        <v>1280</v>
      </c>
      <c r="Y12" s="1">
        <v>4086</v>
      </c>
      <c r="Z12" s="7">
        <f>30+46+44</f>
        <v>120</v>
      </c>
      <c r="AB12" s="1">
        <v>250</v>
      </c>
      <c r="AC12" s="1">
        <v>1073</v>
      </c>
      <c r="AD12" s="13">
        <v>1027</v>
      </c>
      <c r="AE12" s="7">
        <f>22+45+20</f>
        <v>87</v>
      </c>
      <c r="AG12" s="1">
        <v>190</v>
      </c>
      <c r="AH12" s="1">
        <v>1523</v>
      </c>
      <c r="AI12" s="1">
        <v>3732</v>
      </c>
      <c r="AJ12" s="7">
        <f>47+48+19</f>
        <v>114</v>
      </c>
      <c r="AL12" s="1">
        <v>564</v>
      </c>
      <c r="AM12" s="1">
        <v>527</v>
      </c>
      <c r="AN12" s="1">
        <v>1468</v>
      </c>
      <c r="AO12" s="7">
        <f>59+115+61</f>
        <v>235</v>
      </c>
      <c r="AQ12" s="1">
        <v>932</v>
      </c>
      <c r="AR12" s="1">
        <v>3160</v>
      </c>
      <c r="AS12" s="1">
        <v>3247</v>
      </c>
      <c r="AT12" s="7">
        <f>16+6+30</f>
        <v>52</v>
      </c>
      <c r="AV12" s="1">
        <v>647</v>
      </c>
      <c r="AW12" s="1">
        <v>4259</v>
      </c>
      <c r="AX12" s="1">
        <v>2965</v>
      </c>
      <c r="AY12" s="7">
        <f>25+20+9</f>
        <v>54</v>
      </c>
      <c r="BA12" s="1">
        <v>4045</v>
      </c>
      <c r="BB12" s="1">
        <v>4192</v>
      </c>
      <c r="BC12" s="1">
        <v>2613</v>
      </c>
      <c r="BD12" s="7">
        <f>55+59+34</f>
        <v>148</v>
      </c>
      <c r="BF12" s="1">
        <v>4390</v>
      </c>
      <c r="BG12" s="1">
        <v>3668</v>
      </c>
      <c r="BH12" s="1">
        <v>3706</v>
      </c>
      <c r="BI12" s="7">
        <f>69+18+20</f>
        <v>107</v>
      </c>
      <c r="BK12" s="1">
        <v>910</v>
      </c>
      <c r="BL12" s="1">
        <v>4130</v>
      </c>
      <c r="BM12" s="1">
        <v>4382</v>
      </c>
      <c r="BN12" s="7">
        <f>35+44+26</f>
        <v>105</v>
      </c>
      <c r="BP12" s="1">
        <v>75</v>
      </c>
      <c r="BQ12" s="1">
        <v>102</v>
      </c>
      <c r="BR12" s="1">
        <v>1302</v>
      </c>
      <c r="BS12" s="7">
        <f>77+23+42</f>
        <v>142</v>
      </c>
      <c r="BT12">
        <f t="shared" si="0"/>
        <v>1532</v>
      </c>
    </row>
    <row r="13" spans="1:72" x14ac:dyDescent="0.25">
      <c r="A13" t="s">
        <v>24</v>
      </c>
      <c r="C13" s="1">
        <v>174</v>
      </c>
      <c r="D13" s="1">
        <v>1522</v>
      </c>
      <c r="E13" s="1">
        <v>1123</v>
      </c>
      <c r="F13" s="7">
        <f>40+17+20</f>
        <v>77</v>
      </c>
      <c r="H13" s="1">
        <v>3130</v>
      </c>
      <c r="I13" s="1">
        <v>2207</v>
      </c>
      <c r="J13" s="1">
        <v>3293</v>
      </c>
      <c r="K13" s="7">
        <f>22+6+72</f>
        <v>100</v>
      </c>
      <c r="M13" s="1">
        <v>2518</v>
      </c>
      <c r="N13" s="1">
        <v>3630</v>
      </c>
      <c r="O13" s="1">
        <v>3018</v>
      </c>
      <c r="P13" s="7">
        <f>16+69+78</f>
        <v>163</v>
      </c>
      <c r="R13" s="1">
        <v>1221</v>
      </c>
      <c r="S13" s="1">
        <v>886</v>
      </c>
      <c r="T13" s="1">
        <v>4308</v>
      </c>
      <c r="U13" s="7">
        <f>18+14+10</f>
        <v>42</v>
      </c>
      <c r="W13" s="1">
        <v>2135</v>
      </c>
      <c r="X13" s="1">
        <v>852</v>
      </c>
      <c r="Y13" s="1">
        <v>581</v>
      </c>
      <c r="Z13" s="7">
        <f>13+30+18</f>
        <v>61</v>
      </c>
      <c r="AB13" s="1">
        <v>176</v>
      </c>
      <c r="AC13" s="1">
        <v>229</v>
      </c>
      <c r="AD13" s="1">
        <v>1699</v>
      </c>
      <c r="AE13" s="7">
        <f>44+18+22</f>
        <v>84</v>
      </c>
      <c r="AG13" s="1">
        <v>4341</v>
      </c>
      <c r="AH13" s="1">
        <v>1369</v>
      </c>
      <c r="AI13" s="1">
        <v>4088</v>
      </c>
      <c r="AJ13" s="7">
        <f>16+8+12</f>
        <v>36</v>
      </c>
      <c r="AL13" s="1">
        <v>28</v>
      </c>
      <c r="AM13" s="1">
        <v>1796</v>
      </c>
      <c r="AN13" s="1">
        <v>2027</v>
      </c>
      <c r="AO13" s="7">
        <f>27+102+15</f>
        <v>144</v>
      </c>
      <c r="AQ13" s="1">
        <v>2345</v>
      </c>
      <c r="AR13" s="1">
        <v>2165</v>
      </c>
      <c r="AS13" s="1">
        <v>3660</v>
      </c>
      <c r="AT13" s="7">
        <f>40+69+18</f>
        <v>127</v>
      </c>
      <c r="AV13" s="1">
        <v>2948</v>
      </c>
      <c r="AW13" s="1">
        <v>3516</v>
      </c>
      <c r="AX13" s="1">
        <v>3369</v>
      </c>
      <c r="AY13" s="7">
        <f>52+23+6</f>
        <v>81</v>
      </c>
      <c r="BA13" s="1">
        <v>3679</v>
      </c>
      <c r="BB13" s="13">
        <v>3847</v>
      </c>
      <c r="BC13" s="1">
        <v>2947</v>
      </c>
      <c r="BD13" s="7">
        <f>24+74+12</f>
        <v>110</v>
      </c>
      <c r="BF13" s="1">
        <v>1506</v>
      </c>
      <c r="BG13" s="1">
        <v>1025</v>
      </c>
      <c r="BH13" s="1">
        <v>3768</v>
      </c>
      <c r="BI13" s="7">
        <f>21+65+14</f>
        <v>100</v>
      </c>
      <c r="BK13" s="1">
        <v>66</v>
      </c>
      <c r="BL13" s="1">
        <v>3667</v>
      </c>
      <c r="BM13" s="1">
        <v>519</v>
      </c>
      <c r="BN13" s="7">
        <f>36+30+18</f>
        <v>84</v>
      </c>
      <c r="BP13" s="1">
        <v>1403</v>
      </c>
      <c r="BQ13" s="1">
        <v>3340</v>
      </c>
      <c r="BR13" s="1">
        <v>1257</v>
      </c>
      <c r="BS13" s="7">
        <f>99+21+23</f>
        <v>143</v>
      </c>
      <c r="BT13">
        <f t="shared" si="0"/>
        <v>1352</v>
      </c>
    </row>
    <row r="14" spans="1:72" x14ac:dyDescent="0.25">
      <c r="A14" t="s">
        <v>25</v>
      </c>
      <c r="C14" s="1">
        <v>357</v>
      </c>
      <c r="D14" s="1">
        <v>639</v>
      </c>
      <c r="E14" s="1">
        <v>4266</v>
      </c>
      <c r="F14" s="8">
        <f>67+49+14</f>
        <v>130</v>
      </c>
      <c r="H14" s="1">
        <v>2512</v>
      </c>
      <c r="I14" s="1">
        <v>2220</v>
      </c>
      <c r="J14" s="1">
        <v>4360</v>
      </c>
      <c r="K14" s="8">
        <f>77+84+4</f>
        <v>165</v>
      </c>
      <c r="M14" s="1">
        <v>2232</v>
      </c>
      <c r="N14" s="1">
        <v>2535</v>
      </c>
      <c r="O14" s="1">
        <v>4215</v>
      </c>
      <c r="P14" s="8">
        <f>42+9+6</f>
        <v>57</v>
      </c>
      <c r="R14" s="1">
        <v>188</v>
      </c>
      <c r="S14" s="1">
        <v>2200</v>
      </c>
      <c r="T14" s="1">
        <v>4147</v>
      </c>
      <c r="U14" s="8">
        <f>55+55+10</f>
        <v>120</v>
      </c>
      <c r="W14" s="1">
        <v>254</v>
      </c>
      <c r="X14" s="1">
        <v>256</v>
      </c>
      <c r="Y14" s="1">
        <v>766</v>
      </c>
      <c r="Z14" s="8">
        <f>106+15+63</f>
        <v>184</v>
      </c>
      <c r="AB14" s="1">
        <v>228</v>
      </c>
      <c r="AC14" s="1">
        <v>4134</v>
      </c>
      <c r="AD14" s="1">
        <v>839</v>
      </c>
      <c r="AE14" s="8">
        <f>38+13+22</f>
        <v>73</v>
      </c>
      <c r="AG14" s="1">
        <v>1902</v>
      </c>
      <c r="AH14" s="1">
        <v>2383</v>
      </c>
      <c r="AI14" s="1">
        <v>4379</v>
      </c>
      <c r="AJ14" s="8">
        <f>88+37+40</f>
        <v>165</v>
      </c>
      <c r="AL14" s="1">
        <v>358</v>
      </c>
      <c r="AM14" s="1">
        <v>870</v>
      </c>
      <c r="AN14" s="1">
        <v>884</v>
      </c>
      <c r="AO14" s="8">
        <f>38+50+13</f>
        <v>101</v>
      </c>
      <c r="AQ14" s="1">
        <v>476</v>
      </c>
      <c r="AR14" s="1">
        <v>2341</v>
      </c>
      <c r="AS14" s="1">
        <v>3507</v>
      </c>
      <c r="AT14" s="8">
        <f>69+68+50</f>
        <v>187</v>
      </c>
      <c r="AV14" s="1">
        <v>3522</v>
      </c>
      <c r="AW14" s="1">
        <v>3612</v>
      </c>
      <c r="AX14" s="1">
        <v>4354</v>
      </c>
      <c r="AY14" s="8">
        <f>22+24+12</f>
        <v>58</v>
      </c>
      <c r="BA14" s="1">
        <v>2164</v>
      </c>
      <c r="BB14" s="1">
        <v>2468</v>
      </c>
      <c r="BC14" s="1">
        <v>4378</v>
      </c>
      <c r="BD14" s="8">
        <f>92+77+18</f>
        <v>187</v>
      </c>
      <c r="BF14" s="1">
        <v>313</v>
      </c>
      <c r="BG14" s="1">
        <v>280</v>
      </c>
      <c r="BH14" s="1">
        <v>2591</v>
      </c>
      <c r="BI14" s="8">
        <f>20+53+58</f>
        <v>131</v>
      </c>
      <c r="BK14" s="1">
        <v>217</v>
      </c>
      <c r="BL14" s="1">
        <v>4044</v>
      </c>
      <c r="BM14" s="1">
        <v>3398</v>
      </c>
      <c r="BN14" s="8">
        <f>62+26+18</f>
        <v>106</v>
      </c>
      <c r="BP14" s="1">
        <v>1676</v>
      </c>
      <c r="BQ14" s="1">
        <v>4281</v>
      </c>
      <c r="BR14" s="1">
        <v>1367</v>
      </c>
      <c r="BS14" s="8">
        <f>53+14+24</f>
        <v>91</v>
      </c>
      <c r="BT14">
        <f t="shared" si="0"/>
        <v>1755</v>
      </c>
    </row>
    <row r="17" spans="4:4" x14ac:dyDescent="0.25">
      <c r="D17" t="s">
        <v>108</v>
      </c>
    </row>
  </sheetData>
  <mergeCells count="14">
    <mergeCell ref="B1:F1"/>
    <mergeCell ref="G1:K1"/>
    <mergeCell ref="L1:P1"/>
    <mergeCell ref="Q1:U1"/>
    <mergeCell ref="V1:Z1"/>
    <mergeCell ref="AZ1:BD1"/>
    <mergeCell ref="BE1:BI1"/>
    <mergeCell ref="BJ1:BN1"/>
    <mergeCell ref="BO1:BS1"/>
    <mergeCell ref="AA1:AE1"/>
    <mergeCell ref="AF1:AJ1"/>
    <mergeCell ref="AK1:AO1"/>
    <mergeCell ref="AP1:AT1"/>
    <mergeCell ref="AU1:AY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7"/>
  <sheetViews>
    <sheetView zoomScaleNormal="100" workbookViewId="0">
      <pane xSplit="1" topLeftCell="B1" activePane="topRight" state="frozen"/>
      <selection pane="topRight" activeCell="F11" sqref="F11"/>
    </sheetView>
  </sheetViews>
  <sheetFormatPr defaultRowHeight="15" x14ac:dyDescent="0.25"/>
  <sheetData>
    <row r="1" spans="1:41" x14ac:dyDescent="0.25">
      <c r="B1" s="19" t="s">
        <v>74</v>
      </c>
      <c r="C1" s="19"/>
      <c r="D1" s="19"/>
      <c r="E1" s="19"/>
      <c r="F1" s="19"/>
      <c r="G1" s="19" t="s">
        <v>75</v>
      </c>
      <c r="H1" s="19"/>
      <c r="I1" s="19"/>
      <c r="J1" s="19"/>
      <c r="K1" s="19"/>
      <c r="L1" s="19" t="s">
        <v>76</v>
      </c>
      <c r="M1" s="19"/>
      <c r="N1" s="19"/>
      <c r="O1" s="19"/>
      <c r="P1" s="19"/>
      <c r="Q1" s="19" t="s">
        <v>77</v>
      </c>
      <c r="R1" s="19"/>
      <c r="S1" s="19"/>
      <c r="T1" s="19"/>
      <c r="U1" s="19"/>
      <c r="V1" s="19" t="s">
        <v>78</v>
      </c>
      <c r="W1" s="19"/>
      <c r="X1" s="19"/>
      <c r="Y1" s="19"/>
      <c r="Z1" s="19"/>
      <c r="AA1" s="19" t="s">
        <v>79</v>
      </c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</row>
    <row r="2" spans="1:41" x14ac:dyDescent="0.25">
      <c r="A2" t="s">
        <v>1</v>
      </c>
      <c r="B2" t="s">
        <v>2</v>
      </c>
      <c r="C2" t="s">
        <v>3</v>
      </c>
      <c r="D2" t="s">
        <v>4</v>
      </c>
      <c r="E2" t="s">
        <v>5</v>
      </c>
      <c r="F2" t="s">
        <v>27</v>
      </c>
      <c r="G2" t="s">
        <v>2</v>
      </c>
      <c r="H2" t="s">
        <v>3</v>
      </c>
      <c r="I2" t="s">
        <v>4</v>
      </c>
      <c r="J2" t="s">
        <v>5</v>
      </c>
      <c r="K2" t="s">
        <v>27</v>
      </c>
      <c r="L2" t="s">
        <v>2</v>
      </c>
      <c r="M2" t="s">
        <v>3</v>
      </c>
      <c r="N2" t="s">
        <v>4</v>
      </c>
      <c r="O2" t="s">
        <v>5</v>
      </c>
      <c r="P2" t="s">
        <v>27</v>
      </c>
      <c r="Q2" t="s">
        <v>2</v>
      </c>
      <c r="R2" t="s">
        <v>3</v>
      </c>
      <c r="S2" t="s">
        <v>4</v>
      </c>
      <c r="T2" t="s">
        <v>5</v>
      </c>
      <c r="U2" t="s">
        <v>27</v>
      </c>
      <c r="V2" t="s">
        <v>2</v>
      </c>
      <c r="W2" t="s">
        <v>3</v>
      </c>
      <c r="X2" t="s">
        <v>4</v>
      </c>
      <c r="Y2" t="s">
        <v>5</v>
      </c>
      <c r="Z2" t="s">
        <v>27</v>
      </c>
      <c r="AA2" t="s">
        <v>2</v>
      </c>
      <c r="AB2" t="s">
        <v>3</v>
      </c>
      <c r="AC2" t="s">
        <v>4</v>
      </c>
      <c r="AD2" t="s">
        <v>5</v>
      </c>
      <c r="AE2" t="s">
        <v>27</v>
      </c>
      <c r="AF2" t="s">
        <v>34</v>
      </c>
    </row>
    <row r="3" spans="1:41" x14ac:dyDescent="0.25">
      <c r="A3" t="s">
        <v>14</v>
      </c>
      <c r="C3" s="1">
        <v>2761</v>
      </c>
      <c r="D3" s="1">
        <v>692</v>
      </c>
      <c r="E3" s="1">
        <v>649</v>
      </c>
      <c r="F3" s="6">
        <f>26+24+48</f>
        <v>98</v>
      </c>
      <c r="H3" s="1">
        <v>3315</v>
      </c>
      <c r="I3" s="1">
        <v>2907</v>
      </c>
      <c r="J3" s="1">
        <v>3219</v>
      </c>
      <c r="K3" s="6">
        <f>19+50+50</f>
        <v>119</v>
      </c>
      <c r="M3" s="1">
        <v>4366</v>
      </c>
      <c r="N3" s="1">
        <v>991</v>
      </c>
      <c r="O3" s="4">
        <v>2844</v>
      </c>
      <c r="P3" s="6">
        <f>32+7+68</f>
        <v>107</v>
      </c>
      <c r="R3" s="1">
        <v>3402</v>
      </c>
      <c r="S3" s="1">
        <v>339</v>
      </c>
      <c r="T3" s="13">
        <v>3270</v>
      </c>
      <c r="U3" s="6">
        <f>16+52+16</f>
        <v>84</v>
      </c>
      <c r="W3" s="1">
        <v>1739</v>
      </c>
      <c r="X3" s="1">
        <v>1529</v>
      </c>
      <c r="Y3" s="1">
        <v>2022</v>
      </c>
      <c r="Z3" s="6">
        <f>16+16+25</f>
        <v>57</v>
      </c>
      <c r="AB3" s="1">
        <v>1477</v>
      </c>
      <c r="AC3" s="1">
        <v>4400</v>
      </c>
      <c r="AD3" s="1">
        <v>4346</v>
      </c>
      <c r="AE3" s="6">
        <f>75+8+18</f>
        <v>101</v>
      </c>
      <c r="AF3">
        <f>SUM(AE3,Z3,U3,P3,K3,F3)</f>
        <v>566</v>
      </c>
    </row>
    <row r="4" spans="1:41" x14ac:dyDescent="0.25">
      <c r="A4" t="s">
        <v>15</v>
      </c>
      <c r="C4" s="1">
        <v>1717</v>
      </c>
      <c r="D4" s="1">
        <v>1388</v>
      </c>
      <c r="E4" s="1">
        <v>3512</v>
      </c>
      <c r="F4" s="7">
        <f>113+28+20</f>
        <v>161</v>
      </c>
      <c r="H4" s="1">
        <v>2122</v>
      </c>
      <c r="I4" s="1">
        <v>3513</v>
      </c>
      <c r="J4" s="1">
        <v>3574</v>
      </c>
      <c r="K4" s="7">
        <f>112+16+30</f>
        <v>158</v>
      </c>
      <c r="M4" s="1">
        <v>968</v>
      </c>
      <c r="N4" s="1">
        <v>1661</v>
      </c>
      <c r="O4" s="1">
        <v>1348</v>
      </c>
      <c r="P4" s="7">
        <f>18+71+16</f>
        <v>105</v>
      </c>
      <c r="R4" s="1">
        <v>3493</v>
      </c>
      <c r="S4" s="1">
        <v>3506</v>
      </c>
      <c r="T4" s="1">
        <v>401</v>
      </c>
      <c r="U4" s="7">
        <f>10+10+35</f>
        <v>55</v>
      </c>
      <c r="W4" s="1">
        <v>3138</v>
      </c>
      <c r="X4" s="1">
        <v>1014</v>
      </c>
      <c r="Y4" s="1">
        <v>1270</v>
      </c>
      <c r="Z4" s="7">
        <f>82+66+34</f>
        <v>182</v>
      </c>
      <c r="AB4" s="1">
        <v>2587</v>
      </c>
      <c r="AC4" s="1">
        <v>3847</v>
      </c>
      <c r="AD4" s="1">
        <v>1818</v>
      </c>
      <c r="AE4" s="7">
        <f>26+14+14</f>
        <v>54</v>
      </c>
      <c r="AF4">
        <f>SUM(AE4,Z4,U4,P4,K4,F4)</f>
        <v>715</v>
      </c>
    </row>
    <row r="5" spans="1:41" x14ac:dyDescent="0.25">
      <c r="A5" t="s">
        <v>16</v>
      </c>
      <c r="C5" s="1">
        <v>330</v>
      </c>
      <c r="D5" s="1">
        <v>1671</v>
      </c>
      <c r="E5" s="13">
        <v>3303</v>
      </c>
      <c r="F5" s="7">
        <f>99+33+10</f>
        <v>142</v>
      </c>
      <c r="H5" s="1">
        <v>3220</v>
      </c>
      <c r="I5" s="1">
        <v>2923</v>
      </c>
      <c r="J5" s="1">
        <v>2944</v>
      </c>
      <c r="K5" s="7">
        <f>20+24+27</f>
        <v>71</v>
      </c>
      <c r="M5" s="1">
        <v>2485</v>
      </c>
      <c r="N5" s="13">
        <v>4318</v>
      </c>
      <c r="O5" s="13">
        <v>1631</v>
      </c>
      <c r="P5" s="7">
        <f>83+0+31</f>
        <v>114</v>
      </c>
      <c r="R5" s="13">
        <v>3540</v>
      </c>
      <c r="S5" s="1">
        <v>900</v>
      </c>
      <c r="T5" s="1">
        <v>2483</v>
      </c>
      <c r="U5" s="7">
        <f>16+48+13</f>
        <v>77</v>
      </c>
      <c r="W5" s="1">
        <v>538</v>
      </c>
      <c r="X5" s="1">
        <v>1772</v>
      </c>
      <c r="Y5" s="1">
        <v>2917</v>
      </c>
      <c r="Z5" s="7">
        <f>18+22+20</f>
        <v>60</v>
      </c>
      <c r="AB5" s="1">
        <v>624</v>
      </c>
      <c r="AC5" s="1">
        <v>3103</v>
      </c>
      <c r="AD5" s="1">
        <v>3526</v>
      </c>
      <c r="AE5" s="7">
        <f>91+31+22</f>
        <v>144</v>
      </c>
      <c r="AF5">
        <f t="shared" ref="AF5:AF14" si="0">SUM(AE5,Z5,U5,P5,K5,F5)</f>
        <v>608</v>
      </c>
    </row>
    <row r="6" spans="1:41" x14ac:dyDescent="0.25">
      <c r="A6" t="s">
        <v>17</v>
      </c>
      <c r="C6" s="1">
        <v>1323</v>
      </c>
      <c r="D6" s="13">
        <v>2085</v>
      </c>
      <c r="E6" s="1">
        <v>980</v>
      </c>
      <c r="F6" s="7">
        <f>114+16+18</f>
        <v>148</v>
      </c>
      <c r="H6" s="1">
        <v>294</v>
      </c>
      <c r="I6" s="1">
        <v>1318</v>
      </c>
      <c r="J6" s="1">
        <v>4104</v>
      </c>
      <c r="K6" s="7">
        <f>47+20+23</f>
        <v>90</v>
      </c>
      <c r="M6" s="13">
        <v>3120</v>
      </c>
      <c r="N6" s="1">
        <v>4036</v>
      </c>
      <c r="O6" s="13">
        <v>1703</v>
      </c>
      <c r="P6" s="7">
        <f>9+14+17</f>
        <v>40</v>
      </c>
      <c r="R6" s="1">
        <v>1311</v>
      </c>
      <c r="S6" s="1">
        <v>422</v>
      </c>
      <c r="T6" s="1">
        <v>3661</v>
      </c>
      <c r="U6" s="7">
        <f>84+50+15</f>
        <v>149</v>
      </c>
      <c r="W6" s="1">
        <v>71</v>
      </c>
      <c r="X6" s="1">
        <v>379</v>
      </c>
      <c r="Y6" s="1">
        <v>1741</v>
      </c>
      <c r="Z6" s="7">
        <f>38+38+68</f>
        <v>144</v>
      </c>
      <c r="AB6" s="1">
        <v>2415</v>
      </c>
      <c r="AC6" s="1">
        <v>57</v>
      </c>
      <c r="AD6" s="1">
        <v>4271</v>
      </c>
      <c r="AE6" s="7">
        <f>73+50+15</f>
        <v>138</v>
      </c>
      <c r="AF6">
        <f t="shared" si="0"/>
        <v>709</v>
      </c>
    </row>
    <row r="7" spans="1:41" x14ac:dyDescent="0.25">
      <c r="A7" t="s">
        <v>18</v>
      </c>
      <c r="C7" s="1">
        <v>973</v>
      </c>
      <c r="D7" s="1">
        <v>1678</v>
      </c>
      <c r="E7" s="1">
        <v>2813</v>
      </c>
      <c r="F7" s="7">
        <f>53+33+14</f>
        <v>100</v>
      </c>
      <c r="H7" s="1">
        <v>1899</v>
      </c>
      <c r="I7" s="1">
        <v>3663</v>
      </c>
      <c r="J7" s="1">
        <v>1695</v>
      </c>
      <c r="K7" s="7">
        <f>32+68+21</f>
        <v>121</v>
      </c>
      <c r="M7" s="1">
        <v>3009</v>
      </c>
      <c r="N7" s="1">
        <v>2984</v>
      </c>
      <c r="O7" s="13">
        <v>3716</v>
      </c>
      <c r="P7" s="7">
        <f>38+39+15</f>
        <v>92</v>
      </c>
      <c r="R7" s="1">
        <v>1086</v>
      </c>
      <c r="S7" s="1">
        <v>166</v>
      </c>
      <c r="T7" s="1">
        <v>138</v>
      </c>
      <c r="U7" s="7">
        <f>56+28+22</f>
        <v>106</v>
      </c>
      <c r="W7" s="1">
        <v>1466</v>
      </c>
      <c r="X7" s="1">
        <v>3201</v>
      </c>
      <c r="Y7" s="13">
        <v>3301</v>
      </c>
      <c r="Z7" s="7">
        <f>18+16+32</f>
        <v>66</v>
      </c>
      <c r="AB7" s="1">
        <v>1429</v>
      </c>
      <c r="AC7" s="1">
        <v>647</v>
      </c>
      <c r="AD7" s="1">
        <v>2737</v>
      </c>
      <c r="AE7" s="7">
        <f>24+38+16</f>
        <v>78</v>
      </c>
      <c r="AF7">
        <f t="shared" si="0"/>
        <v>563</v>
      </c>
    </row>
    <row r="8" spans="1:41" x14ac:dyDescent="0.25">
      <c r="A8" t="s">
        <v>19</v>
      </c>
      <c r="C8" s="1">
        <v>3495</v>
      </c>
      <c r="D8" s="1">
        <v>256</v>
      </c>
      <c r="E8" s="1">
        <v>2643</v>
      </c>
      <c r="F8" s="7">
        <f>29+22+22</f>
        <v>73</v>
      </c>
      <c r="H8" s="1">
        <v>948</v>
      </c>
      <c r="I8" s="1">
        <v>3693</v>
      </c>
      <c r="J8" s="1">
        <v>2149</v>
      </c>
      <c r="K8" s="7">
        <f>33+15+22</f>
        <v>70</v>
      </c>
      <c r="M8" s="1">
        <v>987</v>
      </c>
      <c r="N8" s="1">
        <v>2543</v>
      </c>
      <c r="O8" s="1">
        <v>4318</v>
      </c>
      <c r="P8" s="7">
        <f>128+13+53</f>
        <v>194</v>
      </c>
      <c r="R8" s="1">
        <v>281</v>
      </c>
      <c r="S8" s="1">
        <v>3737</v>
      </c>
      <c r="T8" s="13">
        <v>3331</v>
      </c>
      <c r="U8" s="7">
        <f>21+32+14</f>
        <v>67</v>
      </c>
      <c r="W8" s="1">
        <v>1706</v>
      </c>
      <c r="X8" s="1">
        <v>2338</v>
      </c>
      <c r="Y8" s="1">
        <v>4275</v>
      </c>
      <c r="Z8" s="7">
        <f>37+16+12</f>
        <v>65</v>
      </c>
      <c r="AB8" s="1">
        <v>2582</v>
      </c>
      <c r="AC8" s="1">
        <v>3728</v>
      </c>
      <c r="AD8" s="1">
        <v>2882</v>
      </c>
      <c r="AE8" s="7">
        <f>29+10+19</f>
        <v>58</v>
      </c>
      <c r="AF8">
        <f t="shared" si="0"/>
        <v>527</v>
      </c>
    </row>
    <row r="9" spans="1:41" x14ac:dyDescent="0.25">
      <c r="A9" t="s">
        <v>20</v>
      </c>
      <c r="C9" s="1">
        <v>1662</v>
      </c>
      <c r="D9" s="13">
        <v>3309</v>
      </c>
      <c r="E9" s="1">
        <v>1967</v>
      </c>
      <c r="F9" s="7">
        <f>56+56+20</f>
        <v>132</v>
      </c>
      <c r="H9" s="1">
        <v>2928</v>
      </c>
      <c r="I9" s="1">
        <v>3801</v>
      </c>
      <c r="J9" s="1">
        <v>2522</v>
      </c>
      <c r="K9" s="7">
        <f>64+29+46</f>
        <v>139</v>
      </c>
      <c r="M9" s="1">
        <v>2375</v>
      </c>
      <c r="N9" s="1">
        <v>3453</v>
      </c>
      <c r="O9" s="1">
        <v>2496</v>
      </c>
      <c r="P9" s="7">
        <f>31+23+32</f>
        <v>86</v>
      </c>
      <c r="R9" s="1">
        <v>1598</v>
      </c>
      <c r="S9" s="1">
        <v>1533</v>
      </c>
      <c r="T9" s="1">
        <v>1413</v>
      </c>
      <c r="U9" s="7">
        <f>30+14+22</f>
        <v>66</v>
      </c>
      <c r="W9" s="1">
        <v>1528</v>
      </c>
      <c r="X9" s="1">
        <v>144</v>
      </c>
      <c r="Y9" s="1">
        <v>1535</v>
      </c>
      <c r="Z9" s="7">
        <f>21+16+14</f>
        <v>51</v>
      </c>
      <c r="AB9" s="1">
        <v>231</v>
      </c>
      <c r="AC9" s="13">
        <v>3762</v>
      </c>
      <c r="AD9" s="1">
        <v>2969</v>
      </c>
      <c r="AE9" s="7">
        <f>24+12+53</f>
        <v>89</v>
      </c>
      <c r="AF9">
        <f t="shared" si="0"/>
        <v>563</v>
      </c>
    </row>
    <row r="10" spans="1:41" x14ac:dyDescent="0.25">
      <c r="A10" t="s">
        <v>21</v>
      </c>
      <c r="C10" s="1">
        <v>254</v>
      </c>
      <c r="D10" s="1">
        <v>2429</v>
      </c>
      <c r="E10" s="1">
        <v>2102</v>
      </c>
      <c r="F10" s="7">
        <f>64+28+58</f>
        <v>150</v>
      </c>
      <c r="H10" s="1">
        <v>1983</v>
      </c>
      <c r="I10" s="1">
        <v>4082</v>
      </c>
      <c r="J10" s="1">
        <v>4120</v>
      </c>
      <c r="K10" s="7">
        <f>134+55+48</f>
        <v>237</v>
      </c>
      <c r="M10" s="1">
        <v>1572</v>
      </c>
      <c r="N10" s="13">
        <v>2637</v>
      </c>
      <c r="O10" s="1">
        <v>2520</v>
      </c>
      <c r="P10" s="7">
        <f>39+29+24</f>
        <v>92</v>
      </c>
      <c r="R10" s="1">
        <v>2614</v>
      </c>
      <c r="S10" s="1">
        <v>3459</v>
      </c>
      <c r="T10" s="1">
        <v>4083</v>
      </c>
      <c r="U10" s="7">
        <f>110+26+64</f>
        <v>200</v>
      </c>
      <c r="W10" s="1">
        <v>45</v>
      </c>
      <c r="X10" s="1">
        <v>772</v>
      </c>
      <c r="Y10" s="1">
        <v>4115</v>
      </c>
      <c r="Z10" s="7">
        <f>71+38+16</f>
        <v>125</v>
      </c>
      <c r="AB10" s="1">
        <v>434</v>
      </c>
      <c r="AC10" s="1">
        <v>3335</v>
      </c>
      <c r="AD10" s="1">
        <v>4295</v>
      </c>
      <c r="AE10" s="7">
        <f>14+19+14</f>
        <v>47</v>
      </c>
      <c r="AF10">
        <f t="shared" si="0"/>
        <v>851</v>
      </c>
    </row>
    <row r="11" spans="1:41" x14ac:dyDescent="0.25">
      <c r="A11" t="s">
        <v>22</v>
      </c>
      <c r="C11" s="1">
        <v>1622</v>
      </c>
      <c r="D11" s="1">
        <v>3934</v>
      </c>
      <c r="E11" s="1">
        <v>3794</v>
      </c>
      <c r="F11" s="7">
        <f>24+35+28</f>
        <v>87</v>
      </c>
      <c r="H11" s="1">
        <v>701</v>
      </c>
      <c r="I11" s="1">
        <v>4017</v>
      </c>
      <c r="J11" s="1">
        <v>2926</v>
      </c>
      <c r="K11" s="7">
        <f>57+24+16</f>
        <v>97</v>
      </c>
      <c r="M11" s="1">
        <v>1780</v>
      </c>
      <c r="N11" s="13">
        <v>3486</v>
      </c>
      <c r="O11" s="1">
        <v>2034</v>
      </c>
      <c r="P11" s="7">
        <f>8+15+48</f>
        <v>71</v>
      </c>
      <c r="R11" s="1">
        <v>1519</v>
      </c>
      <c r="S11" s="1">
        <v>3336</v>
      </c>
      <c r="T11" s="1">
        <v>4339</v>
      </c>
      <c r="U11" s="7">
        <f>91+20+27</f>
        <v>138</v>
      </c>
      <c r="W11" s="1">
        <v>781</v>
      </c>
      <c r="X11" s="1">
        <v>3940</v>
      </c>
      <c r="Y11" s="1">
        <v>3193</v>
      </c>
      <c r="Z11" s="7">
        <f>66+78+75</f>
        <v>219</v>
      </c>
      <c r="AB11" s="1">
        <v>4155</v>
      </c>
      <c r="AC11" s="1">
        <v>3735</v>
      </c>
      <c r="AD11" s="13">
        <v>3741</v>
      </c>
      <c r="AE11" s="7">
        <f>37+13+20</f>
        <v>70</v>
      </c>
      <c r="AF11">
        <f t="shared" si="0"/>
        <v>682</v>
      </c>
    </row>
    <row r="12" spans="1:41" x14ac:dyDescent="0.25">
      <c r="A12" t="s">
        <v>23</v>
      </c>
      <c r="C12" s="1">
        <v>368</v>
      </c>
      <c r="D12" s="1">
        <v>1197</v>
      </c>
      <c r="E12" s="1">
        <v>1516</v>
      </c>
      <c r="F12" s="7">
        <f>33+30+28</f>
        <v>91</v>
      </c>
      <c r="H12" s="1">
        <v>2733</v>
      </c>
      <c r="I12" s="1">
        <v>3216</v>
      </c>
      <c r="J12" s="1">
        <v>3860</v>
      </c>
      <c r="K12" s="7">
        <f>59+21+51</f>
        <v>131</v>
      </c>
      <c r="M12" s="1">
        <v>60</v>
      </c>
      <c r="N12" s="1">
        <v>3019</v>
      </c>
      <c r="O12" s="4">
        <v>3187</v>
      </c>
      <c r="P12" s="7">
        <f>29+15+64</f>
        <v>108</v>
      </c>
      <c r="R12" s="1">
        <v>122</v>
      </c>
      <c r="S12" s="1">
        <v>435</v>
      </c>
      <c r="T12" s="1">
        <v>587</v>
      </c>
      <c r="U12" s="7">
        <f>51+37+28</f>
        <v>116</v>
      </c>
      <c r="W12" s="1">
        <v>1038</v>
      </c>
      <c r="X12" s="1">
        <v>829</v>
      </c>
      <c r="Y12" s="1">
        <v>3266</v>
      </c>
      <c r="Z12" s="7">
        <f>52+62+18</f>
        <v>132</v>
      </c>
      <c r="AB12" s="1">
        <v>418</v>
      </c>
      <c r="AC12" s="1">
        <v>2936</v>
      </c>
      <c r="AD12" s="1">
        <v>3337</v>
      </c>
      <c r="AE12" s="7">
        <f>34+74+17</f>
        <v>125</v>
      </c>
      <c r="AF12">
        <f t="shared" si="0"/>
        <v>703</v>
      </c>
    </row>
    <row r="13" spans="1:41" x14ac:dyDescent="0.25">
      <c r="A13" t="s">
        <v>24</v>
      </c>
      <c r="C13" s="1">
        <v>3250</v>
      </c>
      <c r="D13" s="1">
        <v>841</v>
      </c>
      <c r="E13" s="1">
        <v>3501</v>
      </c>
      <c r="F13" s="7">
        <f>20+18+32</f>
        <v>70</v>
      </c>
      <c r="H13" s="1">
        <v>2910</v>
      </c>
      <c r="I13" s="1">
        <v>4061</v>
      </c>
      <c r="J13" s="1">
        <v>3070</v>
      </c>
      <c r="K13" s="7">
        <f>28+34+18</f>
        <v>80</v>
      </c>
      <c r="M13" s="1">
        <v>988</v>
      </c>
      <c r="N13" s="1">
        <v>4</v>
      </c>
      <c r="O13" s="1">
        <v>2658</v>
      </c>
      <c r="P13" s="7">
        <f>24+15+20</f>
        <v>59</v>
      </c>
      <c r="R13" s="1">
        <v>3196</v>
      </c>
      <c r="S13" s="1">
        <v>2059</v>
      </c>
      <c r="T13" s="1">
        <v>3346</v>
      </c>
      <c r="U13" s="7">
        <f>80+12+16</f>
        <v>108</v>
      </c>
      <c r="W13" s="1">
        <v>48</v>
      </c>
      <c r="X13" s="1">
        <v>1024</v>
      </c>
      <c r="Y13" s="1">
        <v>447</v>
      </c>
      <c r="Z13" s="7">
        <f>64+52+27</f>
        <v>143</v>
      </c>
      <c r="AB13" s="1">
        <v>118</v>
      </c>
      <c r="AC13" s="1">
        <v>1801</v>
      </c>
      <c r="AD13" s="1">
        <v>441</v>
      </c>
      <c r="AE13" s="7">
        <f>98+38+46</f>
        <v>182</v>
      </c>
      <c r="AF13">
        <f t="shared" si="0"/>
        <v>642</v>
      </c>
    </row>
    <row r="14" spans="1:41" x14ac:dyDescent="0.25">
      <c r="A14" t="s">
        <v>25</v>
      </c>
      <c r="C14" s="1">
        <v>1266</v>
      </c>
      <c r="D14" s="1">
        <v>687</v>
      </c>
      <c r="E14" s="1">
        <v>4135</v>
      </c>
      <c r="F14" s="8">
        <f>68+20+20</f>
        <v>108</v>
      </c>
      <c r="H14" s="1">
        <v>2147</v>
      </c>
      <c r="I14" s="1">
        <v>3968</v>
      </c>
      <c r="J14" s="1">
        <v>1595</v>
      </c>
      <c r="K14" s="8">
        <f>24+87+44</f>
        <v>155</v>
      </c>
      <c r="M14" s="1">
        <v>585</v>
      </c>
      <c r="N14" s="1">
        <v>1011</v>
      </c>
      <c r="O14" s="1">
        <v>3288</v>
      </c>
      <c r="P14" s="8">
        <f>57+62+35</f>
        <v>154</v>
      </c>
      <c r="R14" s="1">
        <v>2363</v>
      </c>
      <c r="S14" s="1">
        <v>2655</v>
      </c>
      <c r="T14" s="1">
        <v>3215</v>
      </c>
      <c r="U14" s="8">
        <f>32+24+10</f>
        <v>66</v>
      </c>
      <c r="W14" s="1">
        <v>1730</v>
      </c>
      <c r="X14" s="1">
        <v>537</v>
      </c>
      <c r="Y14" s="1">
        <v>3945</v>
      </c>
      <c r="Z14" s="8">
        <f>53+22+32</f>
        <v>107</v>
      </c>
      <c r="AB14" s="1">
        <v>359</v>
      </c>
      <c r="AC14" s="1">
        <v>3320</v>
      </c>
      <c r="AD14" s="1">
        <v>3997</v>
      </c>
      <c r="AE14" s="8">
        <f>111+16+61</f>
        <v>188</v>
      </c>
      <c r="AF14">
        <f t="shared" si="0"/>
        <v>778</v>
      </c>
    </row>
    <row r="15" spans="1:41" x14ac:dyDescent="0.25">
      <c r="M15" s="1"/>
    </row>
    <row r="16" spans="1:41" x14ac:dyDescent="0.25">
      <c r="M16" s="1"/>
    </row>
    <row r="17" spans="13:15" x14ac:dyDescent="0.25">
      <c r="M17" s="1"/>
      <c r="N17" s="1"/>
      <c r="O17" s="1"/>
    </row>
  </sheetData>
  <mergeCells count="8">
    <mergeCell ref="AF1:AJ1"/>
    <mergeCell ref="AK1:AO1"/>
    <mergeCell ref="AA1:AE1"/>
    <mergeCell ref="B1:F1"/>
    <mergeCell ref="G1:K1"/>
    <mergeCell ref="L1:P1"/>
    <mergeCell ref="Q1:U1"/>
    <mergeCell ref="V1:Z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zoomScaleNormal="100" workbookViewId="0">
      <selection activeCell="J9" sqref="J9"/>
    </sheetView>
  </sheetViews>
  <sheetFormatPr defaultRowHeight="15" x14ac:dyDescent="0.25"/>
  <cols>
    <col min="1" max="1" width="14.140625" customWidth="1"/>
  </cols>
  <sheetData>
    <row r="1" spans="1:10" x14ac:dyDescent="0.25">
      <c r="B1" s="19" t="s">
        <v>102</v>
      </c>
      <c r="C1" s="19"/>
      <c r="D1" s="19"/>
      <c r="E1" s="19"/>
      <c r="F1" s="19" t="s">
        <v>101</v>
      </c>
      <c r="G1" s="19"/>
      <c r="H1" s="19"/>
      <c r="I1" s="19"/>
    </row>
    <row r="2" spans="1:10" x14ac:dyDescent="0.25">
      <c r="A2" t="s">
        <v>1</v>
      </c>
      <c r="B2" s="16" t="s">
        <v>3</v>
      </c>
      <c r="C2" t="s">
        <v>4</v>
      </c>
      <c r="D2" t="s">
        <v>5</v>
      </c>
      <c r="E2" t="s">
        <v>27</v>
      </c>
      <c r="F2" t="s">
        <v>3</v>
      </c>
      <c r="G2" t="s">
        <v>4</v>
      </c>
      <c r="H2" t="s">
        <v>5</v>
      </c>
      <c r="I2" t="s">
        <v>27</v>
      </c>
      <c r="J2" t="s">
        <v>34</v>
      </c>
    </row>
    <row r="3" spans="1:10" x14ac:dyDescent="0.25">
      <c r="A3" t="s">
        <v>14</v>
      </c>
      <c r="B3" s="17">
        <v>75</v>
      </c>
      <c r="C3" s="1">
        <v>11</v>
      </c>
      <c r="D3" s="1">
        <v>708</v>
      </c>
      <c r="E3" s="6">
        <f>78+44+35</f>
        <v>157</v>
      </c>
      <c r="F3" s="9">
        <v>27</v>
      </c>
      <c r="G3" s="9">
        <v>4003</v>
      </c>
      <c r="H3" s="9">
        <v>1711</v>
      </c>
      <c r="I3" s="6">
        <f>72+30+28</f>
        <v>130</v>
      </c>
      <c r="J3">
        <f>E3+I3</f>
        <v>287</v>
      </c>
    </row>
    <row r="4" spans="1:10" x14ac:dyDescent="0.25">
      <c r="A4" t="s">
        <v>15</v>
      </c>
      <c r="B4" s="17">
        <v>1403</v>
      </c>
      <c r="C4" s="1">
        <v>3929</v>
      </c>
      <c r="D4" s="1">
        <v>3142</v>
      </c>
      <c r="E4" s="7">
        <f>28+50+58</f>
        <v>136</v>
      </c>
      <c r="F4" s="1">
        <v>1918</v>
      </c>
      <c r="G4" s="1">
        <v>1718</v>
      </c>
      <c r="H4" s="1">
        <v>2767</v>
      </c>
      <c r="I4" s="7">
        <f>51+72+51</f>
        <v>174</v>
      </c>
      <c r="J4">
        <f t="shared" ref="J4:J14" si="0">E4+I4</f>
        <v>310</v>
      </c>
    </row>
    <row r="5" spans="1:10" x14ac:dyDescent="0.25">
      <c r="A5" t="s">
        <v>16</v>
      </c>
      <c r="B5" s="17">
        <v>2016</v>
      </c>
      <c r="C5" s="1">
        <v>486</v>
      </c>
      <c r="D5" s="1">
        <v>1370</v>
      </c>
      <c r="E5" s="7">
        <f>64+54+28</f>
        <v>146</v>
      </c>
      <c r="F5" s="9">
        <v>85</v>
      </c>
      <c r="G5" s="9">
        <v>2834</v>
      </c>
      <c r="H5" s="9">
        <v>904</v>
      </c>
      <c r="I5" s="7">
        <f>20+34+30</f>
        <v>84</v>
      </c>
      <c r="J5">
        <f t="shared" si="0"/>
        <v>230</v>
      </c>
    </row>
    <row r="6" spans="1:10" x14ac:dyDescent="0.25">
      <c r="A6" t="s">
        <v>17</v>
      </c>
      <c r="B6" s="17">
        <v>341</v>
      </c>
      <c r="C6" s="1">
        <v>1923</v>
      </c>
      <c r="D6" s="1">
        <v>2729</v>
      </c>
      <c r="E6" s="7">
        <f>124+30+32</f>
        <v>186</v>
      </c>
      <c r="F6" s="1">
        <v>469</v>
      </c>
      <c r="G6" s="1">
        <v>51</v>
      </c>
      <c r="H6" s="1">
        <v>2137</v>
      </c>
      <c r="I6" s="7">
        <f>123+60+54</f>
        <v>237</v>
      </c>
      <c r="J6">
        <f t="shared" si="0"/>
        <v>423</v>
      </c>
    </row>
    <row r="7" spans="1:10" x14ac:dyDescent="0.25">
      <c r="A7" t="s">
        <v>18</v>
      </c>
      <c r="B7" s="17">
        <v>365</v>
      </c>
      <c r="C7" s="1">
        <v>1089</v>
      </c>
      <c r="D7" s="1">
        <v>2607</v>
      </c>
      <c r="E7" s="7">
        <f>73+56+30</f>
        <v>159</v>
      </c>
      <c r="F7" s="1">
        <v>2474</v>
      </c>
      <c r="G7" s="1">
        <v>3098</v>
      </c>
      <c r="H7" s="1">
        <v>2246</v>
      </c>
      <c r="I7" s="7">
        <f>42+60+28</f>
        <v>130</v>
      </c>
      <c r="J7">
        <f t="shared" si="0"/>
        <v>289</v>
      </c>
    </row>
    <row r="8" spans="1:10" x14ac:dyDescent="0.25">
      <c r="A8" t="s">
        <v>19</v>
      </c>
      <c r="B8" s="17">
        <v>357</v>
      </c>
      <c r="C8" s="1">
        <v>433</v>
      </c>
      <c r="D8" s="1">
        <v>816</v>
      </c>
      <c r="E8" s="7">
        <f>29+74+30</f>
        <v>133</v>
      </c>
      <c r="F8" s="9">
        <v>33</v>
      </c>
      <c r="G8" s="9">
        <v>123</v>
      </c>
      <c r="H8" s="9">
        <v>245</v>
      </c>
      <c r="I8" s="7">
        <f>96+26+60</f>
        <v>182</v>
      </c>
      <c r="J8">
        <f t="shared" si="0"/>
        <v>315</v>
      </c>
    </row>
    <row r="9" spans="1:10" x14ac:dyDescent="0.25">
      <c r="A9" t="s">
        <v>20</v>
      </c>
      <c r="B9" s="17">
        <v>2590</v>
      </c>
      <c r="C9" s="1">
        <v>1647</v>
      </c>
      <c r="D9" s="1">
        <v>3637</v>
      </c>
      <c r="E9" s="7">
        <f>35+29+28</f>
        <v>92</v>
      </c>
      <c r="F9" s="9">
        <v>2054</v>
      </c>
      <c r="G9" s="9">
        <v>3234</v>
      </c>
      <c r="H9" s="9">
        <v>573</v>
      </c>
      <c r="I9" s="7">
        <f>80+38+58</f>
        <v>176</v>
      </c>
      <c r="J9">
        <f t="shared" si="0"/>
        <v>268</v>
      </c>
    </row>
    <row r="10" spans="1:10" x14ac:dyDescent="0.25">
      <c r="A10" t="s">
        <v>21</v>
      </c>
      <c r="B10" s="17">
        <v>1218</v>
      </c>
      <c r="C10" s="1">
        <v>3974</v>
      </c>
      <c r="D10" s="1">
        <v>316</v>
      </c>
      <c r="E10" s="7">
        <f>83+70+22</f>
        <v>175</v>
      </c>
      <c r="F10" s="1">
        <v>67</v>
      </c>
      <c r="G10" s="1">
        <v>70</v>
      </c>
      <c r="H10" s="1">
        <v>2851</v>
      </c>
      <c r="I10" s="7">
        <f>116+48+30</f>
        <v>194</v>
      </c>
      <c r="J10">
        <f t="shared" si="0"/>
        <v>369</v>
      </c>
    </row>
    <row r="11" spans="1:10" x14ac:dyDescent="0.25">
      <c r="A11" t="s">
        <v>22</v>
      </c>
      <c r="B11" s="17">
        <v>25</v>
      </c>
      <c r="C11" s="1">
        <v>4342</v>
      </c>
      <c r="D11" s="1">
        <v>423</v>
      </c>
      <c r="E11" s="7">
        <f>82+23+43</f>
        <v>148</v>
      </c>
      <c r="F11" s="1">
        <v>548</v>
      </c>
      <c r="G11" s="1">
        <v>503</v>
      </c>
      <c r="H11" s="1">
        <v>3539</v>
      </c>
      <c r="I11" s="7">
        <f>76+72+41</f>
        <v>189</v>
      </c>
      <c r="J11">
        <f t="shared" si="0"/>
        <v>337</v>
      </c>
    </row>
    <row r="12" spans="1:10" x14ac:dyDescent="0.25">
      <c r="A12" t="s">
        <v>23</v>
      </c>
      <c r="B12" s="17">
        <v>56</v>
      </c>
      <c r="C12" s="1">
        <v>2180</v>
      </c>
      <c r="D12" s="1">
        <v>3314</v>
      </c>
      <c r="E12" s="7">
        <f>36+61+28</f>
        <v>125</v>
      </c>
      <c r="F12" s="9">
        <v>2337</v>
      </c>
      <c r="G12" s="9">
        <v>217</v>
      </c>
      <c r="H12" s="9">
        <v>4294</v>
      </c>
      <c r="I12" s="7">
        <f>63+36+70</f>
        <v>169</v>
      </c>
      <c r="J12">
        <f t="shared" si="0"/>
        <v>294</v>
      </c>
    </row>
    <row r="13" spans="1:10" x14ac:dyDescent="0.25">
      <c r="A13" t="s">
        <v>24</v>
      </c>
      <c r="B13" s="17">
        <v>222</v>
      </c>
      <c r="C13" s="1">
        <v>1279</v>
      </c>
      <c r="D13" s="1">
        <v>224</v>
      </c>
      <c r="E13" s="7">
        <f>50+42+28</f>
        <v>120</v>
      </c>
      <c r="F13" s="9">
        <v>3322</v>
      </c>
      <c r="G13" s="9">
        <v>862</v>
      </c>
      <c r="H13" s="9">
        <v>858</v>
      </c>
      <c r="I13" s="7">
        <f>38+47+26</f>
        <v>111</v>
      </c>
      <c r="J13">
        <f t="shared" si="0"/>
        <v>231</v>
      </c>
    </row>
    <row r="14" spans="1:10" x14ac:dyDescent="0.25">
      <c r="A14" t="s">
        <v>25</v>
      </c>
      <c r="B14" s="17">
        <v>1676</v>
      </c>
      <c r="C14" s="1">
        <v>1302</v>
      </c>
      <c r="D14" s="1">
        <v>834</v>
      </c>
      <c r="E14" s="8">
        <f>62+49+29</f>
        <v>140</v>
      </c>
      <c r="F14" s="1">
        <v>1023</v>
      </c>
      <c r="G14" s="1">
        <v>247</v>
      </c>
      <c r="H14" s="1">
        <v>1504</v>
      </c>
      <c r="I14" s="8">
        <f>46+24+26</f>
        <v>96</v>
      </c>
      <c r="J14">
        <f t="shared" si="0"/>
        <v>236</v>
      </c>
    </row>
  </sheetData>
  <mergeCells count="2">
    <mergeCell ref="B1:E1"/>
    <mergeCell ref="F1:I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"/>
  <sheetViews>
    <sheetView zoomScaleNormal="100" workbookViewId="0">
      <pane xSplit="1" topLeftCell="G1" activePane="topRight" state="frozen"/>
      <selection pane="topRight" activeCell="A3" sqref="A3:V14"/>
    </sheetView>
  </sheetViews>
  <sheetFormatPr defaultRowHeight="15" x14ac:dyDescent="0.25"/>
  <cols>
    <col min="22" max="22" width="10.28515625" customWidth="1"/>
  </cols>
  <sheetData>
    <row r="1" spans="1:22" x14ac:dyDescent="0.25">
      <c r="B1" s="19" t="s">
        <v>110</v>
      </c>
      <c r="C1" s="19"/>
      <c r="D1" s="19"/>
      <c r="E1" s="19"/>
      <c r="F1" s="19"/>
      <c r="G1" s="19" t="s">
        <v>111</v>
      </c>
      <c r="H1" s="19"/>
      <c r="I1" s="19"/>
      <c r="J1" s="19"/>
      <c r="K1" s="19"/>
      <c r="L1" s="19" t="s">
        <v>112</v>
      </c>
      <c r="M1" s="19"/>
      <c r="N1" s="19"/>
      <c r="O1" s="19"/>
      <c r="P1" s="19"/>
      <c r="Q1" s="19" t="s">
        <v>113</v>
      </c>
      <c r="R1" s="19"/>
      <c r="S1" s="19"/>
      <c r="T1" s="19"/>
      <c r="U1" s="19"/>
      <c r="V1" s="20" t="s">
        <v>34</v>
      </c>
    </row>
    <row r="2" spans="1:22" x14ac:dyDescent="0.25">
      <c r="A2" t="s">
        <v>0</v>
      </c>
      <c r="B2" t="s">
        <v>3</v>
      </c>
      <c r="C2" t="s">
        <v>4</v>
      </c>
      <c r="D2" t="s">
        <v>5</v>
      </c>
      <c r="E2" t="s">
        <v>114</v>
      </c>
      <c r="F2" t="s">
        <v>27</v>
      </c>
      <c r="G2" t="s">
        <v>3</v>
      </c>
      <c r="H2" t="s">
        <v>4</v>
      </c>
      <c r="I2" t="s">
        <v>5</v>
      </c>
      <c r="J2" t="s">
        <v>114</v>
      </c>
      <c r="K2" t="s">
        <v>27</v>
      </c>
      <c r="L2" t="s">
        <v>3</v>
      </c>
      <c r="M2" t="s">
        <v>4</v>
      </c>
      <c r="N2" t="s">
        <v>5</v>
      </c>
      <c r="O2" t="s">
        <v>114</v>
      </c>
      <c r="P2" t="s">
        <v>27</v>
      </c>
      <c r="Q2" t="s">
        <v>3</v>
      </c>
      <c r="R2" t="s">
        <v>4</v>
      </c>
      <c r="S2" t="s">
        <v>5</v>
      </c>
      <c r="T2" t="s">
        <v>114</v>
      </c>
      <c r="U2" t="s">
        <v>27</v>
      </c>
      <c r="V2" s="20"/>
    </row>
    <row r="3" spans="1:22" x14ac:dyDescent="0.25">
      <c r="A3" t="s">
        <v>14</v>
      </c>
      <c r="B3" s="1">
        <v>2590</v>
      </c>
      <c r="C3" s="1">
        <v>234</v>
      </c>
      <c r="D3" s="1">
        <v>190</v>
      </c>
      <c r="E3" s="1">
        <v>1058</v>
      </c>
      <c r="F3" s="6">
        <f>48+34+27+22</f>
        <v>131</v>
      </c>
      <c r="G3" s="9">
        <v>1507</v>
      </c>
      <c r="H3" s="9">
        <v>233</v>
      </c>
      <c r="I3" s="9">
        <v>433</v>
      </c>
      <c r="J3" s="9">
        <v>537</v>
      </c>
      <c r="K3" s="6">
        <f>41+110+12+22</f>
        <v>185</v>
      </c>
      <c r="L3" s="9">
        <v>573</v>
      </c>
      <c r="M3" s="9">
        <v>1538</v>
      </c>
      <c r="N3" s="9">
        <v>1038</v>
      </c>
      <c r="O3" s="9">
        <v>8</v>
      </c>
      <c r="P3" s="6">
        <f>44+24+24+20</f>
        <v>112</v>
      </c>
      <c r="Q3" s="9">
        <v>340</v>
      </c>
      <c r="R3" s="9">
        <v>842</v>
      </c>
      <c r="S3" s="9">
        <v>639</v>
      </c>
      <c r="T3" s="9">
        <v>107</v>
      </c>
      <c r="U3" s="6">
        <f>22+29+39+26</f>
        <v>116</v>
      </c>
      <c r="V3">
        <f>SUM(F3,K3,P3,U3)</f>
        <v>544</v>
      </c>
    </row>
    <row r="4" spans="1:22" x14ac:dyDescent="0.25">
      <c r="A4" t="s">
        <v>15</v>
      </c>
      <c r="B4" s="1">
        <v>2056</v>
      </c>
      <c r="C4" s="1">
        <v>1868</v>
      </c>
      <c r="D4" s="1">
        <v>4334</v>
      </c>
      <c r="E4" s="1">
        <v>2815</v>
      </c>
      <c r="F4" s="7">
        <f>114+23+65+21</f>
        <v>223</v>
      </c>
      <c r="G4" s="1">
        <v>254</v>
      </c>
      <c r="H4" s="1">
        <v>503</v>
      </c>
      <c r="I4" s="1">
        <v>1678</v>
      </c>
      <c r="J4" s="1">
        <v>1885</v>
      </c>
      <c r="K4" s="7">
        <f>41+27+33+32</f>
        <v>133</v>
      </c>
      <c r="L4" s="1">
        <v>772</v>
      </c>
      <c r="M4" s="1">
        <v>1718</v>
      </c>
      <c r="N4" s="1">
        <v>1732</v>
      </c>
      <c r="O4" s="1">
        <v>1425</v>
      </c>
      <c r="P4" s="7">
        <f>14+43+42+16</f>
        <v>115</v>
      </c>
      <c r="Q4" s="9">
        <v>330</v>
      </c>
      <c r="R4" s="9">
        <v>1519</v>
      </c>
      <c r="S4" s="9">
        <v>1662</v>
      </c>
      <c r="T4" s="9">
        <v>375</v>
      </c>
      <c r="U4" s="7">
        <f>47+50+39+18</f>
        <v>154</v>
      </c>
      <c r="V4">
        <f>SUM(F4,K4,P4,U4)</f>
        <v>625</v>
      </c>
    </row>
    <row r="5" spans="1:22" x14ac:dyDescent="0.25">
      <c r="A5" t="s">
        <v>16</v>
      </c>
      <c r="B5" s="1">
        <v>1218</v>
      </c>
      <c r="C5" s="1">
        <v>781</v>
      </c>
      <c r="D5" s="1">
        <v>2557</v>
      </c>
      <c r="E5" s="1">
        <v>1504</v>
      </c>
      <c r="F5" s="7">
        <f>43+39+35+22</f>
        <v>139</v>
      </c>
      <c r="G5" s="9">
        <v>1477</v>
      </c>
      <c r="H5" s="18">
        <v>78</v>
      </c>
      <c r="I5" s="9">
        <v>1501</v>
      </c>
      <c r="J5" s="9">
        <v>461</v>
      </c>
      <c r="K5" s="7">
        <f>34+44+18+14</f>
        <v>110</v>
      </c>
      <c r="L5" s="9">
        <v>103</v>
      </c>
      <c r="M5" s="9">
        <v>2377</v>
      </c>
      <c r="N5" s="9">
        <v>771</v>
      </c>
      <c r="O5" s="9">
        <v>1747</v>
      </c>
      <c r="P5" s="7">
        <f>21+20+22+20</f>
        <v>83</v>
      </c>
      <c r="Q5" s="9">
        <v>11</v>
      </c>
      <c r="R5" s="9">
        <v>181</v>
      </c>
      <c r="S5" s="9">
        <v>2471</v>
      </c>
      <c r="T5" s="9">
        <v>3357</v>
      </c>
      <c r="U5" s="7">
        <f>41+40+38+25</f>
        <v>144</v>
      </c>
      <c r="V5">
        <f>SUM(F5,K5,P5,U5)</f>
        <v>476</v>
      </c>
    </row>
    <row r="6" spans="1:22" x14ac:dyDescent="0.25">
      <c r="A6" t="s">
        <v>17</v>
      </c>
      <c r="B6" s="1">
        <v>1114</v>
      </c>
      <c r="C6" s="1">
        <v>2809</v>
      </c>
      <c r="D6" s="1">
        <v>126</v>
      </c>
      <c r="E6" s="1">
        <v>3481</v>
      </c>
      <c r="F6" s="7">
        <f>134+15+20+50</f>
        <v>219</v>
      </c>
      <c r="G6" s="1">
        <v>987</v>
      </c>
      <c r="H6" s="1">
        <v>694</v>
      </c>
      <c r="I6" s="1">
        <v>830</v>
      </c>
      <c r="J6" s="1">
        <v>288</v>
      </c>
      <c r="K6" s="7">
        <f>123+28+24+23</f>
        <v>198</v>
      </c>
      <c r="L6" s="1">
        <v>33</v>
      </c>
      <c r="M6" s="1">
        <v>2016</v>
      </c>
      <c r="N6" s="1">
        <v>868</v>
      </c>
      <c r="O6" s="1">
        <v>2439</v>
      </c>
      <c r="P6" s="7">
        <f>94+29+27+25</f>
        <v>175</v>
      </c>
      <c r="Q6" s="9">
        <v>1717</v>
      </c>
      <c r="R6" s="9">
        <v>1540</v>
      </c>
      <c r="S6" s="9">
        <v>1640</v>
      </c>
      <c r="T6" s="9">
        <v>329</v>
      </c>
      <c r="U6" s="7">
        <f>84+49+29+12</f>
        <v>174</v>
      </c>
      <c r="V6">
        <f>SUM(F6,K6,P6,U6)</f>
        <v>766</v>
      </c>
    </row>
    <row r="7" spans="1:22" x14ac:dyDescent="0.25">
      <c r="A7" t="s">
        <v>18</v>
      </c>
      <c r="B7" s="1">
        <v>973</v>
      </c>
      <c r="C7" s="1">
        <v>2046</v>
      </c>
      <c r="D7" s="1">
        <v>1403</v>
      </c>
      <c r="E7" s="1">
        <v>3008</v>
      </c>
      <c r="F7" s="7">
        <f>61+25+38+18</f>
        <v>142</v>
      </c>
      <c r="G7" s="9">
        <v>2474</v>
      </c>
      <c r="H7" s="9">
        <v>3528</v>
      </c>
      <c r="I7" s="9">
        <v>1741</v>
      </c>
      <c r="J7" s="9">
        <v>3970</v>
      </c>
      <c r="K7" s="7">
        <f>34+46+36+22</f>
        <v>138</v>
      </c>
      <c r="L7" s="9">
        <v>2169</v>
      </c>
      <c r="M7" s="9">
        <v>3322</v>
      </c>
      <c r="N7" s="9">
        <v>1671</v>
      </c>
      <c r="O7" s="9">
        <v>3196</v>
      </c>
      <c r="P7" s="7">
        <f>31+31+27+24</f>
        <v>113</v>
      </c>
      <c r="Q7" s="9">
        <v>1983</v>
      </c>
      <c r="R7" s="9">
        <v>1023</v>
      </c>
      <c r="S7" s="9">
        <v>3018</v>
      </c>
      <c r="T7" s="9">
        <v>1635</v>
      </c>
      <c r="U7" s="7">
        <f>42+43+22+24</f>
        <v>131</v>
      </c>
      <c r="V7">
        <f>SUM(F7,K7,P7,U7)</f>
        <v>524</v>
      </c>
    </row>
    <row r="8" spans="1:22" x14ac:dyDescent="0.25">
      <c r="A8" t="s">
        <v>19</v>
      </c>
      <c r="B8" s="1">
        <v>1592</v>
      </c>
      <c r="C8" s="1">
        <v>195</v>
      </c>
      <c r="D8" s="1">
        <v>4001</v>
      </c>
      <c r="E8" s="1">
        <v>2851</v>
      </c>
      <c r="F8" s="7">
        <f>23+39+18+33</f>
        <v>113</v>
      </c>
      <c r="G8" s="9">
        <v>1986</v>
      </c>
      <c r="H8" s="9">
        <v>525</v>
      </c>
      <c r="I8" s="9">
        <v>1319</v>
      </c>
      <c r="J8" s="9">
        <v>2180</v>
      </c>
      <c r="K8" s="7">
        <f>41+21+14+12</f>
        <v>88</v>
      </c>
      <c r="L8" s="9">
        <v>2337</v>
      </c>
      <c r="M8" s="9">
        <v>801</v>
      </c>
      <c r="N8" s="9">
        <v>384</v>
      </c>
      <c r="O8" s="9">
        <v>342</v>
      </c>
      <c r="P8" s="7">
        <f>36+22+25+22</f>
        <v>105</v>
      </c>
      <c r="Q8" s="9">
        <v>222</v>
      </c>
      <c r="R8" s="9">
        <v>365</v>
      </c>
      <c r="S8" s="9">
        <v>1126</v>
      </c>
      <c r="T8" s="9">
        <v>816</v>
      </c>
      <c r="U8" s="7">
        <f>20+39+16+20</f>
        <v>95</v>
      </c>
      <c r="V8">
        <f>SUM(F8,K8,P8,U8)</f>
        <v>401</v>
      </c>
    </row>
    <row r="9" spans="1:22" x14ac:dyDescent="0.25">
      <c r="A9" t="s">
        <v>20</v>
      </c>
      <c r="B9" s="1">
        <v>1796</v>
      </c>
      <c r="C9" s="1">
        <v>1311</v>
      </c>
      <c r="D9" s="1">
        <v>75</v>
      </c>
      <c r="E9" s="1">
        <v>3015</v>
      </c>
      <c r="F9" s="7">
        <f>30+22+12+20</f>
        <v>84</v>
      </c>
      <c r="G9" s="9">
        <v>51</v>
      </c>
      <c r="H9" s="9">
        <v>58</v>
      </c>
      <c r="I9" s="9">
        <v>207</v>
      </c>
      <c r="J9" s="9">
        <v>244</v>
      </c>
      <c r="K9" s="7">
        <f>31+37+72+48</f>
        <v>188</v>
      </c>
      <c r="L9" s="9">
        <v>148</v>
      </c>
      <c r="M9" s="9">
        <v>1323</v>
      </c>
      <c r="N9" s="9">
        <v>815</v>
      </c>
      <c r="O9" s="9">
        <v>744</v>
      </c>
      <c r="P9" s="7">
        <f>41+36+24+45</f>
        <v>146</v>
      </c>
      <c r="Q9" s="9">
        <v>41</v>
      </c>
      <c r="R9" s="9">
        <v>45</v>
      </c>
      <c r="S9" s="9">
        <v>68</v>
      </c>
      <c r="T9" s="9">
        <v>86</v>
      </c>
      <c r="U9" s="7">
        <f>18+20+77+19</f>
        <v>134</v>
      </c>
      <c r="V9">
        <f>SUM(F9,K9,P9,U9)</f>
        <v>552</v>
      </c>
    </row>
    <row r="10" spans="1:22" x14ac:dyDescent="0.25">
      <c r="A10" t="s">
        <v>21</v>
      </c>
      <c r="B10" s="1">
        <v>67</v>
      </c>
      <c r="C10" s="1">
        <v>2949</v>
      </c>
      <c r="D10" s="1">
        <v>1902</v>
      </c>
      <c r="E10" s="1">
        <v>20</v>
      </c>
      <c r="F10" s="7">
        <f>57+25+18+16</f>
        <v>116</v>
      </c>
      <c r="G10" s="1">
        <v>341</v>
      </c>
      <c r="H10" s="1">
        <v>1511</v>
      </c>
      <c r="I10" s="1">
        <v>3940</v>
      </c>
      <c r="J10" s="1">
        <v>706</v>
      </c>
      <c r="K10" s="7">
        <f>85+18+20+20</f>
        <v>143</v>
      </c>
      <c r="L10" s="1">
        <v>16</v>
      </c>
      <c r="M10" s="1">
        <v>1714</v>
      </c>
      <c r="N10" s="1">
        <v>2158</v>
      </c>
      <c r="O10" s="1">
        <v>1515</v>
      </c>
      <c r="P10" s="7">
        <f>94+41+33+16</f>
        <v>184</v>
      </c>
      <c r="Q10" s="9">
        <v>469</v>
      </c>
      <c r="R10" s="9">
        <v>191</v>
      </c>
      <c r="S10" s="9">
        <v>79</v>
      </c>
      <c r="T10" s="9">
        <v>3630</v>
      </c>
      <c r="U10" s="7">
        <f>45+18+31+26</f>
        <v>120</v>
      </c>
      <c r="V10">
        <f>SUM(F10,K10,P10,U10)</f>
        <v>563</v>
      </c>
    </row>
    <row r="11" spans="1:22" x14ac:dyDescent="0.25">
      <c r="A11" t="s">
        <v>22</v>
      </c>
      <c r="B11" s="1">
        <v>359</v>
      </c>
      <c r="C11" s="1">
        <v>245</v>
      </c>
      <c r="D11" s="1">
        <v>3968</v>
      </c>
      <c r="E11" s="1">
        <v>2512</v>
      </c>
      <c r="F11" s="7">
        <f>38+34+14+24</f>
        <v>110</v>
      </c>
      <c r="G11" s="1">
        <v>971</v>
      </c>
      <c r="H11" s="1">
        <v>116</v>
      </c>
      <c r="I11" s="1">
        <v>120</v>
      </c>
      <c r="J11" s="1">
        <v>192</v>
      </c>
      <c r="K11" s="7">
        <f>21+20+20+34</f>
        <v>95</v>
      </c>
      <c r="L11" s="9">
        <v>25</v>
      </c>
      <c r="M11" s="9">
        <v>1918</v>
      </c>
      <c r="N11" s="9">
        <v>1208</v>
      </c>
      <c r="O11" s="9">
        <v>263</v>
      </c>
      <c r="P11" s="7">
        <f>92+26+28+16</f>
        <v>162</v>
      </c>
      <c r="Q11" s="9">
        <v>548</v>
      </c>
      <c r="R11" s="9">
        <v>610</v>
      </c>
      <c r="S11" s="9">
        <v>175</v>
      </c>
      <c r="T11" s="9">
        <v>2834</v>
      </c>
      <c r="U11" s="7">
        <f>91+29+22+31</f>
        <v>173</v>
      </c>
      <c r="V11">
        <f>SUM(F11,K11,P11,U11)</f>
        <v>540</v>
      </c>
    </row>
    <row r="12" spans="1:22" x14ac:dyDescent="0.25">
      <c r="A12" t="s">
        <v>23</v>
      </c>
      <c r="B12" s="1">
        <v>2826</v>
      </c>
      <c r="C12" s="1">
        <v>2996</v>
      </c>
      <c r="D12" s="1">
        <v>272</v>
      </c>
      <c r="E12" s="1">
        <v>2898</v>
      </c>
      <c r="F12" s="7">
        <f>75+30+20+24</f>
        <v>149</v>
      </c>
      <c r="G12" s="9">
        <v>3098</v>
      </c>
      <c r="H12" s="9">
        <v>836</v>
      </c>
      <c r="I12" s="9">
        <v>3205</v>
      </c>
      <c r="J12" s="9">
        <v>3288</v>
      </c>
      <c r="K12" s="7">
        <f>27+18+20+22</f>
        <v>87</v>
      </c>
      <c r="L12" s="9">
        <v>2054</v>
      </c>
      <c r="M12" s="9">
        <v>2928</v>
      </c>
      <c r="N12" s="9">
        <v>358</v>
      </c>
      <c r="O12" s="9">
        <v>2220</v>
      </c>
      <c r="P12" s="7">
        <f>42+18+29+17</f>
        <v>106</v>
      </c>
      <c r="Q12" s="9">
        <v>2122</v>
      </c>
      <c r="R12" s="9">
        <v>1629</v>
      </c>
      <c r="S12" s="9">
        <v>4294</v>
      </c>
      <c r="T12" s="9">
        <v>2062</v>
      </c>
      <c r="U12" s="7">
        <f>41+65+20+24</f>
        <v>150</v>
      </c>
      <c r="V12">
        <f>SUM(F12,K12,P12,U12)</f>
        <v>492</v>
      </c>
    </row>
    <row r="13" spans="1:22" x14ac:dyDescent="0.25">
      <c r="A13" t="s">
        <v>24</v>
      </c>
      <c r="B13" s="1">
        <v>2415</v>
      </c>
      <c r="C13" s="1">
        <v>2614</v>
      </c>
      <c r="D13" s="1">
        <v>3476</v>
      </c>
      <c r="E13" s="1">
        <v>1756</v>
      </c>
      <c r="F13" s="7">
        <f>27+35+14+24</f>
        <v>100</v>
      </c>
      <c r="G13" s="9">
        <v>624</v>
      </c>
      <c r="H13" s="9">
        <v>1985</v>
      </c>
      <c r="I13" s="9">
        <v>1690</v>
      </c>
      <c r="J13" s="9">
        <v>3929</v>
      </c>
      <c r="K13" s="7">
        <f>43+22+16+36</f>
        <v>117</v>
      </c>
      <c r="L13" s="9">
        <v>180</v>
      </c>
      <c r="M13" s="9">
        <v>399</v>
      </c>
      <c r="N13" s="9">
        <v>1574</v>
      </c>
      <c r="O13" s="9">
        <v>231</v>
      </c>
      <c r="P13" s="7">
        <f>116+16+28+60</f>
        <v>220</v>
      </c>
      <c r="Q13" s="9">
        <v>118</v>
      </c>
      <c r="R13" s="9">
        <v>488</v>
      </c>
      <c r="S13" s="9">
        <v>1241</v>
      </c>
      <c r="T13" s="9">
        <v>2468</v>
      </c>
      <c r="U13" s="7">
        <f>67+25+22+22</f>
        <v>136</v>
      </c>
      <c r="V13">
        <f>SUM(F13,K13,P13,U13)</f>
        <v>573</v>
      </c>
    </row>
    <row r="14" spans="1:22" x14ac:dyDescent="0.25">
      <c r="A14" t="s">
        <v>25</v>
      </c>
      <c r="B14" s="1">
        <v>1676</v>
      </c>
      <c r="C14" s="1">
        <v>716</v>
      </c>
      <c r="D14" s="1">
        <v>1816</v>
      </c>
      <c r="E14" s="1">
        <v>1987</v>
      </c>
      <c r="F14" s="8">
        <f>34+20+16+19</f>
        <v>89</v>
      </c>
      <c r="G14" s="9">
        <v>27</v>
      </c>
      <c r="H14" s="9">
        <v>85</v>
      </c>
      <c r="I14" s="9">
        <v>178</v>
      </c>
      <c r="J14" s="9">
        <v>279</v>
      </c>
      <c r="K14" s="8">
        <f>34+23+33+30</f>
        <v>120</v>
      </c>
      <c r="L14" s="9">
        <v>48</v>
      </c>
      <c r="M14" s="9">
        <v>125</v>
      </c>
      <c r="N14" s="9">
        <v>527</v>
      </c>
      <c r="O14" s="9">
        <v>1350</v>
      </c>
      <c r="P14" s="8">
        <f>47+20+20+18</f>
        <v>105</v>
      </c>
      <c r="Q14" s="9">
        <v>111</v>
      </c>
      <c r="R14" s="9">
        <v>435</v>
      </c>
      <c r="S14" s="9">
        <v>2067</v>
      </c>
      <c r="T14" s="9">
        <v>2936</v>
      </c>
      <c r="U14" s="8">
        <f>25+18+22+19</f>
        <v>84</v>
      </c>
      <c r="V14">
        <f>SUM(F14,K14,P14,U14)</f>
        <v>398</v>
      </c>
    </row>
  </sheetData>
  <mergeCells count="5">
    <mergeCell ref="B1:F1"/>
    <mergeCell ref="G1:K1"/>
    <mergeCell ref="L1:P1"/>
    <mergeCell ref="Q1:U1"/>
    <mergeCell ref="V1:V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Grand Total</vt:lpstr>
      <vt:lpstr>Week 1</vt:lpstr>
      <vt:lpstr>Week 2</vt:lpstr>
      <vt:lpstr>Week 3</vt:lpstr>
      <vt:lpstr>Week 4</vt:lpstr>
      <vt:lpstr>Week 5</vt:lpstr>
      <vt:lpstr>Week 6</vt:lpstr>
      <vt:lpstr>Regional Championships</vt:lpstr>
      <vt:lpstr>World Championships</vt:lpstr>
    </vt:vector>
  </TitlesOfParts>
  <Company>SDSMT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Husmann, Eric W</dc:creator>
  <cp:lastModifiedBy>Husmann, Eric W</cp:lastModifiedBy>
  <dcterms:created xsi:type="dcterms:W3CDTF">2011-11-24T04:50:26Z</dcterms:created>
  <dcterms:modified xsi:type="dcterms:W3CDTF">2012-05-02T18:19:11Z</dcterms:modified>
</cp:coreProperties>
</file>