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mb\Downloads\"/>
    </mc:Choice>
  </mc:AlternateContent>
  <bookViews>
    <workbookView xWindow="0" yWindow="0" windowWidth="28800" windowHeight="13125"/>
  </bookViews>
  <sheets>
    <sheet name="Calculator" sheetId="1" r:id="rId1"/>
    <sheet name="DATA" sheetId="4" r:id="rId2"/>
  </sheets>
  <definedNames>
    <definedName name="initial2CIM">DATA!$B$61:$D$62</definedName>
    <definedName name="initial2CIMchoice">DATA!$B$61:$B$62</definedName>
    <definedName name="initial3CIM">DATA!$B$43:$D$44</definedName>
    <definedName name="initial3CIMchoice">DATA!$B$43:$B$44</definedName>
    <definedName name="lowgear3CIM">DATA!$B$48:$D$50</definedName>
    <definedName name="lowgear3CIMchoice">DATA!$B$48:$B$50</definedName>
    <definedName name="Motor">DATA!#REF!</definedName>
    <definedName name="MotorChoice">DATA!#REF!</definedName>
    <definedName name="Motors">DATA!$B$5:$B$20</definedName>
    <definedName name="MotorTwo">DATA!#REF!</definedName>
    <definedName name="MotorTwochoice">DATA!#REF!</definedName>
    <definedName name="Specs">DATA!$B$4:$G$20</definedName>
    <definedName name="SSDR">DATA!$B$70:$D$72</definedName>
    <definedName name="SSDRchoice">DATA!$B$70:$B$72</definedName>
    <definedName name="thirdstage2CIM">DATA!$B$64:$D$68</definedName>
    <definedName name="thirdstage2CIMchoice">DATA!$B$64:$B$68</definedName>
    <definedName name="thirdstage3CIM">DATA!$B$52:$D$56</definedName>
    <definedName name="thirdstage3CIMchoice">DATA!$B$52:$B$56</definedName>
    <definedName name="WCPDShighgear">DATA!$B$35:$D$37</definedName>
    <definedName name="WCPDShighgearchoice">DATA!$B$35:$B$37</definedName>
    <definedName name="WCPDSinput">DATA!$B$23:$D$28</definedName>
    <definedName name="WCPDSinputchoice">DATA!$B$23:$B$28</definedName>
    <definedName name="WCPDSlowgear">DATA!$B$31:$D$32</definedName>
    <definedName name="WCPDSlowgearchoice">DATA!$B$31:$B$32</definedName>
    <definedName name="WCPSSinput">DATA!$B$77:$D$80</definedName>
    <definedName name="WCPSSinputchoice">DATA!$B$77:$B$80</definedName>
    <definedName name="WCPSSsecond">DATA!$B$83:$D$87</definedName>
    <definedName name="WCPSSsecondchoice">DATA!$B$83:$B$87</definedName>
  </definedNames>
  <calcPr calcId="162913" concurrentCalc="0"/>
</workbook>
</file>

<file path=xl/calcChain.xml><?xml version="1.0" encoding="utf-8"?>
<calcChain xmlns="http://schemas.openxmlformats.org/spreadsheetml/2006/main">
  <c r="J12" i="1" l="1"/>
  <c r="J7" i="1"/>
  <c r="J11" i="1"/>
  <c r="J8" i="1"/>
  <c r="J10" i="1"/>
  <c r="J9" i="1"/>
  <c r="E17" i="1"/>
  <c r="C17" i="1"/>
  <c r="C16" i="1"/>
  <c r="E16" i="1"/>
  <c r="D8" i="1"/>
  <c r="E8" i="1"/>
  <c r="D9" i="1"/>
  <c r="E9" i="1"/>
  <c r="D7" i="1"/>
  <c r="E7" i="1"/>
  <c r="P6" i="1"/>
  <c r="D6" i="1"/>
  <c r="E6" i="1"/>
  <c r="P7" i="1"/>
  <c r="P11" i="1"/>
  <c r="P8" i="1"/>
  <c r="P9" i="1"/>
  <c r="P10" i="1"/>
  <c r="N6" i="1"/>
  <c r="O6" i="1"/>
  <c r="N7" i="1"/>
  <c r="O7" i="1"/>
  <c r="N11" i="1"/>
  <c r="N8" i="1"/>
  <c r="O11" i="1"/>
  <c r="O8" i="1"/>
  <c r="N9" i="1"/>
  <c r="O9" i="1"/>
  <c r="N10" i="1"/>
  <c r="O10" i="1"/>
  <c r="M6" i="1"/>
  <c r="M11" i="1"/>
  <c r="M7" i="1"/>
  <c r="M8" i="1"/>
  <c r="M10" i="1"/>
  <c r="M9" i="1"/>
  <c r="L8" i="1"/>
  <c r="L6" i="1"/>
  <c r="L12" i="1"/>
  <c r="L11" i="1"/>
  <c r="L7" i="1"/>
  <c r="L9" i="1"/>
  <c r="K6" i="1"/>
  <c r="K12" i="1"/>
  <c r="K11" i="1"/>
  <c r="K10" i="1"/>
  <c r="K7" i="1"/>
  <c r="K9" i="1"/>
  <c r="I6" i="1"/>
  <c r="I12" i="1"/>
  <c r="I11" i="1"/>
  <c r="I7" i="1"/>
  <c r="I8" i="1"/>
  <c r="I10" i="1"/>
  <c r="I9" i="1"/>
  <c r="H11" i="1"/>
  <c r="H6" i="1"/>
  <c r="H12" i="1"/>
  <c r="H7" i="1"/>
  <c r="H8" i="1"/>
  <c r="H10" i="1"/>
  <c r="H9" i="1"/>
  <c r="G21" i="4"/>
  <c r="G22" i="4"/>
  <c r="E10" i="1"/>
  <c r="D10" i="1"/>
  <c r="G8" i="4"/>
  <c r="G20" i="4"/>
  <c r="G19" i="4"/>
  <c r="G18" i="4"/>
  <c r="G17" i="4"/>
  <c r="G16" i="4"/>
  <c r="G15" i="4"/>
  <c r="G14" i="4"/>
  <c r="G13" i="4"/>
  <c r="G12" i="4"/>
  <c r="G11" i="4"/>
  <c r="G10" i="4"/>
  <c r="G9" i="4"/>
  <c r="G7" i="4"/>
  <c r="G6" i="4"/>
  <c r="G5" i="4"/>
</calcChain>
</file>

<file path=xl/sharedStrings.xml><?xml version="1.0" encoding="utf-8"?>
<sst xmlns="http://schemas.openxmlformats.org/spreadsheetml/2006/main" count="53" uniqueCount="50">
  <si>
    <t>Motor Specifications</t>
  </si>
  <si>
    <t>All specifications listed at 12V based on empirical testing by VEX Robotics, "combined motor" specs calculated using Paul Copioli's "Useful Calculations" spreadsheet.</t>
  </si>
  <si>
    <t>For testing details refer to: motors.vex.com</t>
  </si>
  <si>
    <t>Free Speed (RPM)</t>
  </si>
  <si>
    <t>Stall Torque (N-m)</t>
  </si>
  <si>
    <t>Stall Current (Amp)</t>
  </si>
  <si>
    <t>Free Current (Amp)</t>
  </si>
  <si>
    <t>Power (W)</t>
  </si>
  <si>
    <t>Stall Torque (N*m)</t>
  </si>
  <si>
    <t>CIM</t>
  </si>
  <si>
    <t>Mini CIM</t>
  </si>
  <si>
    <t>1 CIM + 1 Mini CIM (Copioli)</t>
  </si>
  <si>
    <t>BAG Motor</t>
  </si>
  <si>
    <t>775pro</t>
  </si>
  <si>
    <t>1 CIM + 2 Mini CIM (Copioli)</t>
  </si>
  <si>
    <t>AM 775</t>
  </si>
  <si>
    <t>2 CIM + 1 Mini CIM (Copioli)</t>
  </si>
  <si>
    <t>AM 9015</t>
  </si>
  <si>
    <t>BB RS-775-18</t>
  </si>
  <si>
    <t>Stall Current (A)</t>
  </si>
  <si>
    <t>Free Current (A)</t>
  </si>
  <si>
    <t># Motors</t>
  </si>
  <si>
    <t>Gearbox Efficiency</t>
  </si>
  <si>
    <t>Gear Ratio</t>
  </si>
  <si>
    <t>Stall Load (lbs)</t>
  </si>
  <si>
    <t>Current Limited</t>
  </si>
  <si>
    <t>Key</t>
  </si>
  <si>
    <t xml:space="preserve"> = Calculated Value</t>
  </si>
  <si>
    <t xml:space="preserve"> = Input Value</t>
  </si>
  <si>
    <t>Voltage Applied (V)</t>
  </si>
  <si>
    <t>Snowblower Motor</t>
  </si>
  <si>
    <t>Neverest</t>
  </si>
  <si>
    <t>Throttle Motor</t>
  </si>
  <si>
    <t>Bosch Motor</t>
  </si>
  <si>
    <t>Current per Motor(A)</t>
  </si>
  <si>
    <t>30A</t>
  </si>
  <si>
    <t>40A</t>
  </si>
  <si>
    <t>50A</t>
  </si>
  <si>
    <t>Rot. Free Speed (rps)</t>
  </si>
  <si>
    <t>Rot. Loaded Speed (rps)</t>
  </si>
  <si>
    <t>Lin. Free Speed (ft/s)</t>
  </si>
  <si>
    <t>Lin. Loaded Speed (ft/s)</t>
  </si>
  <si>
    <t>Max. Power</t>
  </si>
  <si>
    <t>Adjusted</t>
  </si>
  <si>
    <t>Max. Eff.</t>
  </si>
  <si>
    <t>Rot. Speed</t>
  </si>
  <si>
    <t>Lin. Speed</t>
  </si>
  <si>
    <t xml:space="preserve"> = Invalid Input</t>
  </si>
  <si>
    <t>Metric? (put any value in the box)</t>
  </si>
  <si>
    <t>By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</si>
</sst>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\:\1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5"/>
      <name val="Arial"/>
      <family val="2"/>
    </font>
    <font>
      <b/>
      <sz val="8"/>
      <color theme="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2" fontId="4" fillId="0" borderId="0" xfId="2" applyNumberFormat="1" applyFont="1" applyBorder="1" applyAlignment="1">
      <alignment horizontal="center" vertical="center" wrapText="1"/>
    </xf>
    <xf numFmtId="2" fontId="5" fillId="0" borderId="0" xfId="2" applyNumberFormat="1" applyFont="1" applyBorder="1" applyAlignment="1">
      <alignment horizontal="left" vertical="center"/>
    </xf>
    <xf numFmtId="2" fontId="4" fillId="0" borderId="0" xfId="2" applyNumberFormat="1" applyFont="1" applyAlignment="1">
      <alignment horizontal="center" vertical="center" wrapText="1"/>
    </xf>
    <xf numFmtId="0" fontId="4" fillId="0" borderId="0" xfId="2" applyFont="1"/>
    <xf numFmtId="2" fontId="6" fillId="0" borderId="0" xfId="2" applyNumberFormat="1" applyFont="1" applyBorder="1" applyAlignment="1">
      <alignment horizontal="left" vertical="center"/>
    </xf>
    <xf numFmtId="2" fontId="7" fillId="0" borderId="0" xfId="2" applyNumberFormat="1" applyFont="1" applyBorder="1" applyAlignment="1">
      <alignment horizontal="center" vertical="center" wrapText="1"/>
    </xf>
    <xf numFmtId="2" fontId="7" fillId="0" borderId="0" xfId="2" applyNumberFormat="1" applyFont="1" applyBorder="1" applyAlignment="1">
      <alignment horizontal="right" vertical="center" wrapText="1"/>
    </xf>
    <xf numFmtId="2" fontId="7" fillId="0" borderId="0" xfId="2" applyNumberFormat="1" applyFont="1" applyAlignment="1">
      <alignment horizontal="center" vertical="center" wrapText="1"/>
    </xf>
    <xf numFmtId="2" fontId="7" fillId="0" borderId="0" xfId="2" applyNumberFormat="1" applyFont="1" applyFill="1" applyBorder="1" applyAlignment="1">
      <alignment horizontal="right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2" fontId="8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10" fillId="0" borderId="0" xfId="2" applyFont="1" applyAlignment="1">
      <alignment horizontal="left"/>
    </xf>
    <xf numFmtId="0" fontId="9" fillId="0" borderId="0" xfId="2" quotePrefix="1" applyFont="1" applyAlignment="1">
      <alignment horizontal="right"/>
    </xf>
    <xf numFmtId="0" fontId="4" fillId="0" borderId="0" xfId="2" applyFont="1" applyAlignment="1">
      <alignment horizontal="center"/>
    </xf>
    <xf numFmtId="20" fontId="9" fillId="0" borderId="0" xfId="2" quotePrefix="1" applyNumberFormat="1" applyFont="1" applyAlignment="1">
      <alignment horizontal="right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right"/>
    </xf>
    <xf numFmtId="0" fontId="4" fillId="0" borderId="0" xfId="2" quotePrefix="1" applyFont="1" applyAlignment="1">
      <alignment horizontal="right"/>
    </xf>
    <xf numFmtId="0" fontId="0" fillId="0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0" borderId="2" xfId="0" applyFill="1" applyBorder="1"/>
    <xf numFmtId="9" fontId="0" fillId="2" borderId="3" xfId="1" applyFont="1" applyFill="1" applyBorder="1"/>
    <xf numFmtId="0" fontId="0" fillId="0" borderId="4" xfId="0" applyBorder="1"/>
    <xf numFmtId="0" fontId="0" fillId="0" borderId="4" xfId="0" applyFill="1" applyBorder="1"/>
    <xf numFmtId="0" fontId="0" fillId="3" borderId="0" xfId="0" applyFill="1"/>
    <xf numFmtId="0" fontId="2" fillId="0" borderId="0" xfId="0" applyFont="1"/>
    <xf numFmtId="0" fontId="0" fillId="0" borderId="0" xfId="0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2" fontId="0" fillId="3" borderId="1" xfId="0" applyNumberFormat="1" applyFill="1" applyBorder="1"/>
    <xf numFmtId="0" fontId="0" fillId="2" borderId="0" xfId="0" applyFill="1"/>
    <xf numFmtId="1" fontId="0" fillId="0" borderId="3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4" borderId="1" xfId="0" applyFill="1" applyBorder="1"/>
    <xf numFmtId="164" fontId="0" fillId="3" borderId="6" xfId="0" applyNumberFormat="1" applyFill="1" applyBorder="1"/>
    <xf numFmtId="2" fontId="0" fillId="3" borderId="6" xfId="0" applyNumberFormat="1" applyFill="1" applyBorder="1"/>
    <xf numFmtId="2" fontId="0" fillId="3" borderId="7" xfId="0" applyNumberFormat="1" applyFill="1" applyBorder="1"/>
    <xf numFmtId="165" fontId="0" fillId="3" borderId="6" xfId="0" applyNumberFormat="1" applyFill="1" applyBorder="1"/>
    <xf numFmtId="2" fontId="0" fillId="2" borderId="1" xfId="0" applyNumberFormat="1" applyFill="1" applyBorder="1"/>
    <xf numFmtId="0" fontId="0" fillId="5" borderId="0" xfId="0" applyFill="1"/>
    <xf numFmtId="0" fontId="0" fillId="0" borderId="0" xfId="0" quotePrefix="1"/>
    <xf numFmtId="165" fontId="0" fillId="2" borderId="1" xfId="0" applyNumberFormat="1" applyFill="1" applyBorder="1"/>
    <xf numFmtId="0" fontId="0" fillId="0" borderId="1" xfId="0" applyBorder="1"/>
    <xf numFmtId="0" fontId="11" fillId="0" borderId="0" xfId="0" applyFont="1"/>
    <xf numFmtId="164" fontId="0" fillId="2" borderId="1" xfId="0" applyNumberFormat="1" applyFill="1" applyBorder="1"/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18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5:P27"/>
  <sheetViews>
    <sheetView tabSelected="1" workbookViewId="0">
      <selection activeCell="G19" sqref="G19"/>
    </sheetView>
  </sheetViews>
  <sheetFormatPr defaultRowHeight="15" x14ac:dyDescent="0.25"/>
  <cols>
    <col min="2" max="2" width="2.85546875" customWidth="1"/>
    <col min="3" max="3" width="18.85546875" customWidth="1"/>
    <col min="4" max="4" width="8.85546875" customWidth="1"/>
    <col min="5" max="5" width="9.42578125" customWidth="1"/>
    <col min="6" max="6" width="8.7109375" customWidth="1"/>
    <col min="7" max="7" width="22.7109375" customWidth="1"/>
    <col min="8" max="8" width="11.5703125" customWidth="1"/>
    <col min="9" max="9" width="10.140625" customWidth="1"/>
    <col min="10" max="11" width="10.42578125" customWidth="1"/>
  </cols>
  <sheetData>
    <row r="5" spans="3:16" x14ac:dyDescent="0.25">
      <c r="C5" s="59" t="s">
        <v>9</v>
      </c>
      <c r="D5" s="60"/>
      <c r="E5" s="34" t="s">
        <v>43</v>
      </c>
      <c r="H5" s="46" t="s">
        <v>42</v>
      </c>
      <c r="I5" s="46" t="s">
        <v>44</v>
      </c>
      <c r="J5" s="46" t="s">
        <v>49</v>
      </c>
      <c r="K5" s="46" t="s">
        <v>45</v>
      </c>
      <c r="L5" s="46" t="s">
        <v>46</v>
      </c>
      <c r="M5" s="46" t="s">
        <v>35</v>
      </c>
      <c r="N5" s="46" t="s">
        <v>36</v>
      </c>
      <c r="O5" s="46" t="s">
        <v>37</v>
      </c>
      <c r="P5" s="34" t="s">
        <v>25</v>
      </c>
    </row>
    <row r="6" spans="3:16" x14ac:dyDescent="0.25">
      <c r="C6" s="31" t="s">
        <v>3</v>
      </c>
      <c r="D6" s="40">
        <f>VLOOKUP($C$5,Specs,2,FALSE)</f>
        <v>5330</v>
      </c>
      <c r="E6" s="41">
        <f>D6*(D$13/12)</f>
        <v>5330</v>
      </c>
      <c r="G6" s="31" t="s">
        <v>23</v>
      </c>
      <c r="H6" s="48">
        <f>E16*H11/E7*0.113</f>
        <v>11.721991701244812</v>
      </c>
      <c r="I6" s="36">
        <f>E16*E17/8.850745792/((SQRT(E9)*E7)/(SQRT(E8)+SQRT(E9)))</f>
        <v>46.67963267159633</v>
      </c>
      <c r="J6" s="58">
        <v>10</v>
      </c>
      <c r="K6" s="36">
        <f>($E$7*$E$6+SQRT(($E$7*$E$6)^2-27.119*$E$17*$E$16*K8*$E$7*$E$6))/(120*K8*$E$7)</f>
        <v>37.469190761741721</v>
      </c>
      <c r="L6" s="36">
        <f>($E$7*$E$6+SQRT(($E$7*$E$6)^2-27.119*$E$17*$E$16*L8*$E$7*$E$6))/(120*L8*$E$7)</f>
        <v>110.09223875916025</v>
      </c>
      <c r="M6" s="36">
        <f>($E8-$E9)/($E7/$D$14)*$E16*$E17/$D12/0.2248/39.37/(M12-$E9/$D12)</f>
        <v>22.033589047814822</v>
      </c>
      <c r="N6" s="36">
        <f>($E8-$E9)/($E7/$D$14)*$E16*$E17/$D12/0.2248/39.37/(N12-$E9/$D12)</f>
        <v>16.126460616765272</v>
      </c>
      <c r="O6" s="36">
        <f>($E8-$E9)/($E7/$D$14)*$E16*$E17/$D12/0.2248/39.37/(O12-$E9/$D12)</f>
        <v>12.717060909203905</v>
      </c>
      <c r="P6" s="36">
        <f>($E8-$E9)/($E7/$D$14)*$E16*$E17/$D12/0.2248/39.37/(P12-$E9/$D12)</f>
        <v>26.973855650463886</v>
      </c>
    </row>
    <row r="7" spans="3:16" x14ac:dyDescent="0.25">
      <c r="C7" s="31" t="s">
        <v>8</v>
      </c>
      <c r="D7" s="27">
        <f>VLOOKUP($C$5,Specs,3,FALSE)</f>
        <v>2.41</v>
      </c>
      <c r="E7" s="42">
        <f>D7*(D$13/12)*D12*D14</f>
        <v>1.9280000000000002</v>
      </c>
      <c r="G7" s="31" t="s">
        <v>38</v>
      </c>
      <c r="H7" s="49">
        <f t="shared" ref="H7:P7" si="0">$E6/H6/60</f>
        <v>7.5783480825958707</v>
      </c>
      <c r="I7" s="38">
        <f t="shared" si="0"/>
        <v>1.9030426815544916</v>
      </c>
      <c r="J7" s="38">
        <f t="shared" si="0"/>
        <v>8.8833333333333329</v>
      </c>
      <c r="K7" s="38">
        <f t="shared" si="0"/>
        <v>2.3708367201791147</v>
      </c>
      <c r="L7" s="38">
        <f t="shared" si="0"/>
        <v>0.8068991450674986</v>
      </c>
      <c r="M7" s="38">
        <f t="shared" si="0"/>
        <v>4.0317232540081056</v>
      </c>
      <c r="N7" s="38">
        <f t="shared" si="0"/>
        <v>5.5085449587729789</v>
      </c>
      <c r="O7" s="38">
        <f t="shared" si="0"/>
        <v>6.9853666635378522</v>
      </c>
      <c r="P7" s="38">
        <f t="shared" si="0"/>
        <v>3.293312401625669</v>
      </c>
    </row>
    <row r="8" spans="3:16" x14ac:dyDescent="0.25">
      <c r="C8" s="31" t="s">
        <v>19</v>
      </c>
      <c r="D8" s="27">
        <f>VLOOKUP($C$5,Specs,4,FALSE)</f>
        <v>131</v>
      </c>
      <c r="E8" s="43">
        <f>D8*(D$13/12)*D12</f>
        <v>131</v>
      </c>
      <c r="G8" s="45" t="s">
        <v>39</v>
      </c>
      <c r="H8" s="50">
        <f>H7*(1-$E17/H11)</f>
        <v>3.7891740412979353</v>
      </c>
      <c r="I8" s="38">
        <f>I7*(1-$E17/I11)</f>
        <v>1.6641227687036557</v>
      </c>
      <c r="J8" s="38">
        <f>J7*(1-$E17/J11)</f>
        <v>3.6772968485994948</v>
      </c>
      <c r="K8" s="52">
        <v>2</v>
      </c>
      <c r="L8" s="38">
        <f>L10/E16/2/PI()*12</f>
        <v>0.76394372684109757</v>
      </c>
      <c r="M8" s="38">
        <f>M7*(1-$E17/M11)</f>
        <v>2.9593728561669002</v>
      </c>
      <c r="N8" s="38">
        <f>N7*(1-$E17/N11)</f>
        <v>3.5067062315493613</v>
      </c>
      <c r="O8" s="38">
        <f>O7*(1-$E17/O11)</f>
        <v>3.7662723222933052</v>
      </c>
      <c r="P8" s="38">
        <f>P7*(1-$E17/P11)</f>
        <v>2.5777934367362261</v>
      </c>
    </row>
    <row r="9" spans="3:16" x14ac:dyDescent="0.25">
      <c r="C9" s="31" t="s">
        <v>20</v>
      </c>
      <c r="D9" s="27">
        <f>VLOOKUP($C$5,Specs,5,FALSE)</f>
        <v>2.7</v>
      </c>
      <c r="E9" s="43">
        <f>D9*(D$13/12)*D12</f>
        <v>2.7</v>
      </c>
      <c r="G9" s="31" t="s">
        <v>40</v>
      </c>
      <c r="H9" s="49">
        <f t="shared" ref="H9:M9" si="1">H7/12*2*PI()*$E$16</f>
        <v>19.840068885524566</v>
      </c>
      <c r="I9" s="38">
        <f t="shared" si="1"/>
        <v>4.9821540898661762</v>
      </c>
      <c r="J9" s="38">
        <f t="shared" si="1"/>
        <v>23.256512282824438</v>
      </c>
      <c r="K9" s="38">
        <f t="shared" si="1"/>
        <v>6.2068360191463556</v>
      </c>
      <c r="L9" s="38">
        <f t="shared" si="1"/>
        <v>2.1124570219432819</v>
      </c>
      <c r="M9" s="38">
        <f t="shared" si="1"/>
        <v>10.555026796749164</v>
      </c>
      <c r="N9" s="38">
        <f t="shared" ref="N9:O9" si="2">N7/12*2*PI()*$E$16</f>
        <v>14.421336978708565</v>
      </c>
      <c r="O9" s="38">
        <f t="shared" si="2"/>
        <v>18.287647160667969</v>
      </c>
      <c r="P9" s="38">
        <f>P7/12*2*PI()*$E$16</f>
        <v>8.6218717057694665</v>
      </c>
    </row>
    <row r="10" spans="3:16" x14ac:dyDescent="0.25">
      <c r="C10" s="29" t="s">
        <v>7</v>
      </c>
      <c r="D10" s="44">
        <f>D6/2*(1/60*2*PI())*D7/2</f>
        <v>336.28916760964142</v>
      </c>
      <c r="E10" s="44">
        <f>E6/2*(1/60*2*PI())*E7/2</f>
        <v>269.03133408771316</v>
      </c>
      <c r="G10" s="31" t="s">
        <v>41</v>
      </c>
      <c r="H10" s="49">
        <f>H8/12*2*PI()*$E$16</f>
        <v>9.9200344427622831</v>
      </c>
      <c r="I10" s="38">
        <f>I8/12*2*PI()*$E$16</f>
        <v>4.3566632206924263</v>
      </c>
      <c r="J10" s="38">
        <f>J8/12*2*PI()*$E$16</f>
        <v>9.627140637190891</v>
      </c>
      <c r="K10" s="38">
        <f>K8/12*2*PI()*$E$16</f>
        <v>5.2359877559829879</v>
      </c>
      <c r="L10" s="52">
        <v>2</v>
      </c>
      <c r="M10" s="38">
        <f>M8/12*2*PI()*$E$16</f>
        <v>7.7476200201391476</v>
      </c>
      <c r="N10" s="38">
        <f t="shared" ref="N10:O10" si="3">N8/12*2*PI()*$E$16</f>
        <v>9.1805354461108521</v>
      </c>
      <c r="O10" s="38">
        <f t="shared" si="3"/>
        <v>9.8600778826126803</v>
      </c>
      <c r="P10" s="38">
        <f>P8/12*2*PI()*$E$16</f>
        <v>6.7486474361020941</v>
      </c>
    </row>
    <row r="11" spans="3:16" x14ac:dyDescent="0.25">
      <c r="G11" s="32" t="s">
        <v>24</v>
      </c>
      <c r="H11" s="51">
        <f>2*E17</f>
        <v>40</v>
      </c>
      <c r="I11" s="37">
        <f>$E$7*I6*39.37*0.2248/$E$16</f>
        <v>159.30381514433347</v>
      </c>
      <c r="J11" s="37">
        <f>$E$7*J6*39.37*0.2248/$E$16</f>
        <v>34.127049855999999</v>
      </c>
      <c r="K11" s="37">
        <f>$E$7*K6*39.37*0.2248/$E$16</f>
        <v>127.87129411899343</v>
      </c>
      <c r="L11" s="37">
        <f>$E$7*L6*39.37*0.2248/$E$16</f>
        <v>375.71233208925179</v>
      </c>
      <c r="M11" s="37">
        <f>$E$7*M6*39.37*0.2248/$E$16</f>
        <v>75.194139194139183</v>
      </c>
      <c r="N11" s="37">
        <f t="shared" ref="N11:O11" si="4">$E$7*N6*39.37*0.2248/$E$16</f>
        <v>55.034852546916895</v>
      </c>
      <c r="O11" s="37">
        <f t="shared" si="4"/>
        <v>43.399577167019039</v>
      </c>
      <c r="P11" s="37">
        <f>$E$7*P6*39.37*0.2248/$E$16</f>
        <v>92.053811659192846</v>
      </c>
    </row>
    <row r="12" spans="3:16" x14ac:dyDescent="0.25">
      <c r="C12" s="31" t="s">
        <v>21</v>
      </c>
      <c r="D12" s="28">
        <v>1</v>
      </c>
      <c r="G12" s="31" t="s">
        <v>34</v>
      </c>
      <c r="H12" s="51">
        <f>($E8-$E9)/($E7/$D$14)*$E16*$E17/H6/$D12/0.2248/39.37 + ($E9/D12)</f>
        <v>54.015253954792236</v>
      </c>
      <c r="I12" s="37">
        <f>($E8-$E9)/($E7/$D$14)*$E16*$E17/I6/$D12/0.2248/39.37 + $E9/$D12</f>
        <v>15.586069289301761</v>
      </c>
      <c r="J12" s="37">
        <f>($E8-$E9)/($E7/$D$14)*$E16*$E17/J6/$D12/0.2248/39.37 + $E9/$D12</f>
        <v>62.851698100534477</v>
      </c>
      <c r="K12" s="37">
        <f>($E8-$E9)/($E7/$D$14)*$E16*$E17/K6/$D12/0.2248/39.37 + $E9/$D12</f>
        <v>18.753642173119182</v>
      </c>
      <c r="L12" s="37">
        <f>($E8-$E9)/($E7/$D$14)*$E16*$E17/L6/$D12/0.2248/39.37 + $E9/$D12</f>
        <v>8.1637546459676784</v>
      </c>
      <c r="M12" s="47">
        <v>30</v>
      </c>
      <c r="N12" s="47">
        <v>40</v>
      </c>
      <c r="O12" s="47">
        <v>50</v>
      </c>
      <c r="P12" s="55">
        <v>25</v>
      </c>
    </row>
    <row r="13" spans="3:16" x14ac:dyDescent="0.25">
      <c r="C13" s="31" t="s">
        <v>29</v>
      </c>
      <c r="D13" s="28">
        <v>12</v>
      </c>
    </row>
    <row r="14" spans="3:16" x14ac:dyDescent="0.25">
      <c r="C14" s="32" t="s">
        <v>22</v>
      </c>
      <c r="D14" s="30">
        <v>0.8</v>
      </c>
    </row>
    <row r="15" spans="3:16" x14ac:dyDescent="0.25">
      <c r="F15" s="35"/>
    </row>
    <row r="16" spans="3:16" x14ac:dyDescent="0.25">
      <c r="C16" s="31" t="str">
        <f>"Radius (" &amp; IF(ISBLANK(B20),"in","cm") &amp; ")"</f>
        <v>Radius (in)</v>
      </c>
      <c r="D16" s="28">
        <v>5</v>
      </c>
      <c r="E16" s="57">
        <f>IF(ISBLANK($B$20),D16,D16/2.54)</f>
        <v>5</v>
      </c>
    </row>
    <row r="17" spans="2:5" x14ac:dyDescent="0.25">
      <c r="C17" s="32" t="str">
        <f>"Load (" &amp; IF(ISBLANK(B20),"lbs","kg") &amp; ")"</f>
        <v>Load (lbs)</v>
      </c>
      <c r="D17" s="28">
        <v>20</v>
      </c>
      <c r="E17" s="57">
        <f>IF(ISBLANK($B$20),D17,D17*2.205)</f>
        <v>20</v>
      </c>
    </row>
    <row r="20" spans="2:5" x14ac:dyDescent="0.25">
      <c r="B20" s="56"/>
      <c r="C20" t="s">
        <v>48</v>
      </c>
    </row>
    <row r="24" spans="2:5" x14ac:dyDescent="0.25">
      <c r="C24" s="34" t="s">
        <v>26</v>
      </c>
    </row>
    <row r="25" spans="2:5" x14ac:dyDescent="0.25">
      <c r="B25" s="39"/>
      <c r="C25" t="s">
        <v>28</v>
      </c>
    </row>
    <row r="26" spans="2:5" x14ac:dyDescent="0.25">
      <c r="B26" s="33"/>
      <c r="C26" t="s">
        <v>27</v>
      </c>
    </row>
    <row r="27" spans="2:5" x14ac:dyDescent="0.25">
      <c r="B27" s="53"/>
      <c r="C27" s="54" t="s">
        <v>47</v>
      </c>
    </row>
  </sheetData>
  <mergeCells count="1">
    <mergeCell ref="C5:D5"/>
  </mergeCells>
  <conditionalFormatting sqref="P12">
    <cfRule type="expression" dxfId="8" priority="10">
      <formula>$P$6&lt;=0</formula>
    </cfRule>
  </conditionalFormatting>
  <conditionalFormatting sqref="L10">
    <cfRule type="expression" dxfId="7" priority="9">
      <formula>OR(ISERROR($L$6),$L$10&lt;=0)</formula>
    </cfRule>
  </conditionalFormatting>
  <conditionalFormatting sqref="K8">
    <cfRule type="expression" dxfId="6" priority="8">
      <formula>OR(ISERROR($K$6), $K$8&lt;=0)</formula>
    </cfRule>
  </conditionalFormatting>
  <conditionalFormatting sqref="D12">
    <cfRule type="expression" dxfId="5" priority="7">
      <formula>$D$12&lt;=0</formula>
    </cfRule>
  </conditionalFormatting>
  <conditionalFormatting sqref="D13">
    <cfRule type="expression" dxfId="4" priority="6">
      <formula>OR($D$13&lt;=0, $D$13&gt;12)</formula>
    </cfRule>
  </conditionalFormatting>
  <conditionalFormatting sqref="D14">
    <cfRule type="expression" dxfId="3" priority="5">
      <formula>OR($D$14&lt;=0, $D$14&gt;1)</formula>
    </cfRule>
  </conditionalFormatting>
  <conditionalFormatting sqref="D16">
    <cfRule type="expression" dxfId="2" priority="4">
      <formula>$D$16&lt;=0</formula>
    </cfRule>
  </conditionalFormatting>
  <conditionalFormatting sqref="D17">
    <cfRule type="expression" dxfId="1" priority="3">
      <formula>$D$17&lt;=0</formula>
    </cfRule>
  </conditionalFormatting>
  <conditionalFormatting sqref="J6">
    <cfRule type="expression" dxfId="0" priority="1">
      <formula>$J$11&lt;$E$17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DATA!$B$5:$B$22</xm:f>
          </x14:formula1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87"/>
  <sheetViews>
    <sheetView workbookViewId="0">
      <selection activeCell="D28" sqref="D28"/>
    </sheetView>
  </sheetViews>
  <sheetFormatPr defaultColWidth="12.5703125" defaultRowHeight="12.75" x14ac:dyDescent="0.2"/>
  <cols>
    <col min="1" max="1" width="4" style="4" customWidth="1"/>
    <col min="2" max="2" width="41.85546875" style="19" customWidth="1"/>
    <col min="3" max="16384" width="12.5703125" style="4"/>
  </cols>
  <sheetData>
    <row r="1" spans="1:9" ht="26.1" customHeight="1" x14ac:dyDescent="0.2">
      <c r="A1" s="1"/>
      <c r="B1" s="2" t="s">
        <v>0</v>
      </c>
      <c r="C1" s="1"/>
      <c r="D1" s="1"/>
      <c r="E1" s="1"/>
      <c r="F1" s="1"/>
      <c r="G1" s="1"/>
      <c r="H1" s="3"/>
      <c r="I1" s="3"/>
    </row>
    <row r="2" spans="1:9" x14ac:dyDescent="0.2">
      <c r="A2" s="1"/>
      <c r="B2" s="5" t="s">
        <v>1</v>
      </c>
      <c r="C2" s="1"/>
      <c r="D2" s="1"/>
      <c r="E2" s="1"/>
      <c r="F2" s="1"/>
      <c r="G2" s="1"/>
      <c r="H2" s="3"/>
      <c r="I2" s="3"/>
    </row>
    <row r="3" spans="1:9" x14ac:dyDescent="0.2">
      <c r="A3" s="1"/>
      <c r="B3" s="5" t="s">
        <v>2</v>
      </c>
      <c r="C3" s="1"/>
      <c r="D3" s="1"/>
      <c r="E3" s="1"/>
      <c r="F3" s="1"/>
      <c r="G3" s="1"/>
      <c r="H3" s="3"/>
      <c r="I3" s="3"/>
    </row>
    <row r="4" spans="1:9" ht="34.5" customHeight="1" x14ac:dyDescent="0.2">
      <c r="A4" s="6"/>
      <c r="B4" s="7"/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8"/>
      <c r="I4" s="8"/>
    </row>
    <row r="5" spans="1:9" x14ac:dyDescent="0.2">
      <c r="A5" s="1"/>
      <c r="B5" s="9" t="s">
        <v>9</v>
      </c>
      <c r="C5" s="10">
        <v>5330</v>
      </c>
      <c r="D5" s="11">
        <v>2.41</v>
      </c>
      <c r="E5" s="11">
        <v>131</v>
      </c>
      <c r="F5" s="11">
        <v>2.7</v>
      </c>
      <c r="G5" s="12">
        <f>C5/2*(1/60*2*PI())*D5/2</f>
        <v>336.28916760964142</v>
      </c>
      <c r="H5" s="3"/>
      <c r="I5" s="3"/>
    </row>
    <row r="6" spans="1:9" x14ac:dyDescent="0.2">
      <c r="A6" s="1"/>
      <c r="B6" s="9" t="s">
        <v>10</v>
      </c>
      <c r="C6" s="13">
        <v>5840</v>
      </c>
      <c r="D6" s="14">
        <v>1.41</v>
      </c>
      <c r="E6" s="14">
        <v>89</v>
      </c>
      <c r="F6" s="14">
        <v>3</v>
      </c>
      <c r="G6" s="12">
        <f t="shared" ref="G6:G7" si="0">C6/2*(1/60*2*PI())*D6/2</f>
        <v>215.57608788933157</v>
      </c>
      <c r="H6" s="3"/>
      <c r="I6" s="3"/>
    </row>
    <row r="7" spans="1:9" x14ac:dyDescent="0.2">
      <c r="A7" s="1"/>
      <c r="B7" s="9" t="s">
        <v>12</v>
      </c>
      <c r="C7" s="13">
        <v>13180</v>
      </c>
      <c r="D7" s="14">
        <v>0.43</v>
      </c>
      <c r="E7" s="14">
        <v>53</v>
      </c>
      <c r="F7" s="14">
        <v>1.8</v>
      </c>
      <c r="G7" s="12">
        <f t="shared" si="0"/>
        <v>148.37218504128995</v>
      </c>
      <c r="H7" s="3"/>
      <c r="I7" s="3"/>
    </row>
    <row r="8" spans="1:9" x14ac:dyDescent="0.2">
      <c r="A8" s="1"/>
      <c r="B8" s="9" t="s">
        <v>13</v>
      </c>
      <c r="C8" s="10">
        <v>18730</v>
      </c>
      <c r="D8" s="11">
        <v>0.71</v>
      </c>
      <c r="E8" s="11">
        <v>134</v>
      </c>
      <c r="F8" s="11">
        <v>0.7</v>
      </c>
      <c r="G8" s="12">
        <f>C8/2*(1/60*2*PI())*D8/2</f>
        <v>348.14867987694288</v>
      </c>
      <c r="H8" s="17"/>
      <c r="I8" s="3"/>
    </row>
    <row r="9" spans="1:9" x14ac:dyDescent="0.2">
      <c r="A9" s="1"/>
      <c r="B9" s="9" t="s">
        <v>15</v>
      </c>
      <c r="C9" s="10">
        <v>5800</v>
      </c>
      <c r="D9" s="11">
        <v>0.28000000000000003</v>
      </c>
      <c r="E9" s="11">
        <v>18</v>
      </c>
      <c r="F9" s="11">
        <v>1.6</v>
      </c>
      <c r="G9" s="12">
        <f>C9/2*(1/60*2*PI())*D9/2</f>
        <v>42.516220578581873</v>
      </c>
      <c r="H9" s="3"/>
      <c r="I9" s="3"/>
    </row>
    <row r="10" spans="1:9" x14ac:dyDescent="0.2">
      <c r="A10" s="1"/>
      <c r="B10" s="9" t="s">
        <v>17</v>
      </c>
      <c r="C10" s="15">
        <v>14270</v>
      </c>
      <c r="D10" s="16">
        <v>0.36</v>
      </c>
      <c r="E10" s="16">
        <v>71</v>
      </c>
      <c r="F10" s="16">
        <v>3.7</v>
      </c>
      <c r="G10" s="12">
        <f t="shared" ref="G10:G20" si="1">C10/2*(1/60*2*PI())*D10/2</f>
        <v>134.49158150017902</v>
      </c>
      <c r="H10" s="3"/>
      <c r="I10" s="3"/>
    </row>
    <row r="11" spans="1:9" x14ac:dyDescent="0.2">
      <c r="A11" s="1"/>
      <c r="B11" s="9" t="s">
        <v>11</v>
      </c>
      <c r="C11" s="15">
        <v>5508</v>
      </c>
      <c r="D11" s="16">
        <v>3.82</v>
      </c>
      <c r="E11" s="16">
        <v>220</v>
      </c>
      <c r="F11" s="16">
        <v>8.16</v>
      </c>
      <c r="G11" s="12">
        <f t="shared" si="1"/>
        <v>550.84057269512709</v>
      </c>
      <c r="H11" s="3"/>
      <c r="I11" s="3"/>
    </row>
    <row r="12" spans="1:9" x14ac:dyDescent="0.2">
      <c r="A12" s="1"/>
      <c r="B12" s="9" t="s">
        <v>14</v>
      </c>
      <c r="C12" s="15">
        <v>5593</v>
      </c>
      <c r="D12" s="16">
        <v>5.23</v>
      </c>
      <c r="E12" s="16">
        <v>309</v>
      </c>
      <c r="F12" s="16">
        <v>9.6199999999999992</v>
      </c>
      <c r="G12" s="12">
        <f t="shared" si="1"/>
        <v>765.79959942741618</v>
      </c>
      <c r="H12" s="3"/>
      <c r="I12" s="3"/>
    </row>
    <row r="13" spans="1:9" x14ac:dyDescent="0.2">
      <c r="B13" s="9" t="s">
        <v>16</v>
      </c>
      <c r="C13" s="15">
        <v>5437</v>
      </c>
      <c r="D13" s="16">
        <v>6.23</v>
      </c>
      <c r="E13" s="16">
        <v>351</v>
      </c>
      <c r="F13" s="16">
        <v>9.15</v>
      </c>
      <c r="G13" s="12">
        <f t="shared" si="1"/>
        <v>886.78023812205663</v>
      </c>
    </row>
    <row r="14" spans="1:9" x14ac:dyDescent="0.2">
      <c r="B14" s="9" t="s">
        <v>18</v>
      </c>
      <c r="C14" s="10">
        <v>13050</v>
      </c>
      <c r="D14" s="11">
        <v>0.72</v>
      </c>
      <c r="E14" s="11">
        <v>97</v>
      </c>
      <c r="F14" s="11">
        <v>2.7</v>
      </c>
      <c r="G14" s="12">
        <f t="shared" si="1"/>
        <v>245.98670477608078</v>
      </c>
    </row>
    <row r="15" spans="1:9" x14ac:dyDescent="0.2">
      <c r="B15" s="9" t="s">
        <v>30</v>
      </c>
      <c r="C15" s="10">
        <v>100</v>
      </c>
      <c r="D15" s="11">
        <v>7.91</v>
      </c>
      <c r="E15" s="11">
        <v>24</v>
      </c>
      <c r="F15" s="11">
        <v>5</v>
      </c>
      <c r="G15" s="12">
        <f t="shared" si="1"/>
        <v>20.708331574912716</v>
      </c>
    </row>
    <row r="16" spans="1:9" x14ac:dyDescent="0.2">
      <c r="B16" s="9" t="s">
        <v>31</v>
      </c>
      <c r="C16" s="15">
        <v>6600</v>
      </c>
      <c r="D16" s="16">
        <v>6.1800000000000001E-2</v>
      </c>
      <c r="E16" s="16">
        <v>11.5</v>
      </c>
      <c r="F16" s="16">
        <v>2</v>
      </c>
      <c r="G16" s="12">
        <f t="shared" si="1"/>
        <v>10.678273429551705</v>
      </c>
    </row>
    <row r="17" spans="2:7" x14ac:dyDescent="0.2">
      <c r="B17" s="25" t="s">
        <v>32</v>
      </c>
      <c r="C17" s="15">
        <v>5300</v>
      </c>
      <c r="D17" s="16">
        <v>0.127</v>
      </c>
      <c r="E17" s="16">
        <v>7</v>
      </c>
      <c r="F17" s="16">
        <v>0.4</v>
      </c>
      <c r="G17" s="12">
        <f t="shared" si="1"/>
        <v>17.621716792760747</v>
      </c>
    </row>
    <row r="18" spans="2:7" x14ac:dyDescent="0.2">
      <c r="B18" s="25" t="s">
        <v>33</v>
      </c>
      <c r="C18" s="15">
        <v>24</v>
      </c>
      <c r="D18" s="16">
        <v>22</v>
      </c>
      <c r="E18" s="16">
        <v>12</v>
      </c>
      <c r="F18" s="16">
        <v>3</v>
      </c>
      <c r="G18" s="12">
        <f t="shared" si="1"/>
        <v>13.82300767579509</v>
      </c>
    </row>
    <row r="19" spans="2:7" x14ac:dyDescent="0.2">
      <c r="B19" s="25"/>
      <c r="C19" s="15"/>
      <c r="D19" s="16"/>
      <c r="E19" s="16"/>
      <c r="F19" s="16"/>
      <c r="G19" s="12">
        <f t="shared" si="1"/>
        <v>0</v>
      </c>
    </row>
    <row r="20" spans="2:7" x14ac:dyDescent="0.2">
      <c r="B20" s="9"/>
      <c r="C20" s="15"/>
      <c r="D20" s="16"/>
      <c r="E20" s="16"/>
      <c r="F20" s="16"/>
      <c r="G20" s="12">
        <f t="shared" si="1"/>
        <v>0</v>
      </c>
    </row>
    <row r="21" spans="2:7" x14ac:dyDescent="0.2">
      <c r="C21" s="15"/>
      <c r="D21" s="16"/>
      <c r="E21" s="16"/>
      <c r="F21" s="16"/>
      <c r="G21" s="12">
        <f t="shared" ref="G21:G22" si="2">C21/2*(1/60*2*PI())*D21/2</f>
        <v>0</v>
      </c>
    </row>
    <row r="22" spans="2:7" x14ac:dyDescent="0.2">
      <c r="C22" s="15"/>
      <c r="D22" s="16"/>
      <c r="E22" s="16"/>
      <c r="F22" s="16"/>
      <c r="G22" s="12">
        <f t="shared" si="2"/>
        <v>0</v>
      </c>
    </row>
    <row r="23" spans="2:7" x14ac:dyDescent="0.2">
      <c r="B23" s="21"/>
      <c r="C23" s="22"/>
      <c r="D23" s="22"/>
    </row>
    <row r="24" spans="2:7" x14ac:dyDescent="0.2">
      <c r="B24" s="21"/>
      <c r="C24" s="22"/>
      <c r="D24" s="22"/>
    </row>
    <row r="25" spans="2:7" x14ac:dyDescent="0.2">
      <c r="B25" s="23"/>
      <c r="C25" s="22"/>
      <c r="D25" s="22"/>
    </row>
    <row r="26" spans="2:7" x14ac:dyDescent="0.2">
      <c r="B26" s="23"/>
      <c r="C26" s="22"/>
      <c r="D26" s="22"/>
    </row>
    <row r="27" spans="2:7" x14ac:dyDescent="0.2">
      <c r="B27" s="23"/>
      <c r="C27" s="22"/>
      <c r="D27" s="22"/>
    </row>
    <row r="28" spans="2:7" x14ac:dyDescent="0.2">
      <c r="B28" s="23"/>
      <c r="C28" s="22"/>
      <c r="D28" s="22"/>
    </row>
    <row r="29" spans="2:7" x14ac:dyDescent="0.2">
      <c r="C29" s="22"/>
      <c r="D29" s="22"/>
    </row>
    <row r="30" spans="2:7" x14ac:dyDescent="0.2">
      <c r="B30" s="20"/>
      <c r="C30" s="22"/>
      <c r="D30" s="22"/>
    </row>
    <row r="31" spans="2:7" x14ac:dyDescent="0.2">
      <c r="B31" s="21"/>
      <c r="C31" s="22"/>
      <c r="D31" s="22"/>
    </row>
    <row r="32" spans="2:7" x14ac:dyDescent="0.2">
      <c r="B32" s="21"/>
      <c r="C32" s="22"/>
      <c r="D32" s="22"/>
    </row>
    <row r="33" spans="2:4" x14ac:dyDescent="0.2">
      <c r="C33" s="22"/>
      <c r="D33" s="22"/>
    </row>
    <row r="34" spans="2:4" x14ac:dyDescent="0.2">
      <c r="B34" s="20"/>
      <c r="C34" s="22"/>
      <c r="D34" s="22"/>
    </row>
    <row r="35" spans="2:4" x14ac:dyDescent="0.2">
      <c r="B35" s="21"/>
      <c r="C35" s="22"/>
      <c r="D35" s="22"/>
    </row>
    <row r="36" spans="2:4" x14ac:dyDescent="0.2">
      <c r="B36" s="21"/>
      <c r="C36" s="22"/>
      <c r="D36" s="22"/>
    </row>
    <row r="37" spans="2:4" x14ac:dyDescent="0.2">
      <c r="B37" s="21"/>
      <c r="C37" s="22"/>
      <c r="D37" s="22"/>
    </row>
    <row r="38" spans="2:4" x14ac:dyDescent="0.2">
      <c r="C38" s="22"/>
      <c r="D38" s="22"/>
    </row>
    <row r="39" spans="2:4" x14ac:dyDescent="0.2">
      <c r="C39" s="22"/>
      <c r="D39" s="22"/>
    </row>
    <row r="40" spans="2:4" x14ac:dyDescent="0.2">
      <c r="C40" s="22"/>
      <c r="D40" s="22"/>
    </row>
    <row r="41" spans="2:4" ht="15.75" x14ac:dyDescent="0.2">
      <c r="B41" s="2"/>
      <c r="C41" s="24"/>
      <c r="D41" s="24"/>
    </row>
    <row r="42" spans="2:4" x14ac:dyDescent="0.2">
      <c r="B42" s="25"/>
      <c r="C42" s="24"/>
      <c r="D42" s="24"/>
    </row>
    <row r="43" spans="2:4" x14ac:dyDescent="0.2">
      <c r="B43" s="23"/>
      <c r="C43" s="24"/>
      <c r="D43" s="24"/>
    </row>
    <row r="44" spans="2:4" x14ac:dyDescent="0.2">
      <c r="B44" s="18"/>
      <c r="C44" s="24"/>
      <c r="D44" s="24"/>
    </row>
    <row r="45" spans="2:4" x14ac:dyDescent="0.2">
      <c r="B45" s="18"/>
      <c r="C45" s="24"/>
      <c r="D45" s="24"/>
    </row>
    <row r="46" spans="2:4" x14ac:dyDescent="0.2">
      <c r="B46" s="18"/>
      <c r="C46" s="24"/>
      <c r="D46" s="24"/>
    </row>
    <row r="47" spans="2:4" x14ac:dyDescent="0.2">
      <c r="B47" s="18"/>
      <c r="C47" s="24"/>
      <c r="D47" s="24"/>
    </row>
    <row r="48" spans="2:4" x14ac:dyDescent="0.2">
      <c r="B48" s="18"/>
      <c r="C48" s="24"/>
      <c r="D48" s="24"/>
    </row>
    <row r="49" spans="2:4" x14ac:dyDescent="0.2">
      <c r="B49" s="18"/>
      <c r="C49" s="24"/>
      <c r="D49" s="24"/>
    </row>
    <row r="50" spans="2:4" x14ac:dyDescent="0.2">
      <c r="B50" s="18"/>
      <c r="C50" s="24"/>
      <c r="D50" s="24"/>
    </row>
    <row r="51" spans="2:4" x14ac:dyDescent="0.2">
      <c r="B51" s="18"/>
      <c r="C51" s="24"/>
      <c r="D51" s="24"/>
    </row>
    <row r="52" spans="2:4" x14ac:dyDescent="0.2">
      <c r="B52" s="18"/>
      <c r="C52" s="24"/>
      <c r="D52" s="24"/>
    </row>
    <row r="53" spans="2:4" x14ac:dyDescent="0.2">
      <c r="B53" s="18"/>
      <c r="C53" s="24"/>
      <c r="D53" s="24"/>
    </row>
    <row r="54" spans="2:4" x14ac:dyDescent="0.2">
      <c r="B54" s="18"/>
      <c r="C54" s="24"/>
      <c r="D54" s="24"/>
    </row>
    <row r="55" spans="2:4" x14ac:dyDescent="0.2">
      <c r="B55" s="18"/>
      <c r="C55" s="24"/>
      <c r="D55" s="24"/>
    </row>
    <row r="56" spans="2:4" x14ac:dyDescent="0.2">
      <c r="B56" s="18"/>
      <c r="C56" s="24"/>
      <c r="D56" s="24"/>
    </row>
    <row r="57" spans="2:4" x14ac:dyDescent="0.2">
      <c r="B57" s="18"/>
      <c r="C57" s="24"/>
      <c r="D57" s="24"/>
    </row>
    <row r="58" spans="2:4" x14ac:dyDescent="0.2">
      <c r="B58" s="18"/>
      <c r="C58" s="24"/>
      <c r="D58" s="24"/>
    </row>
    <row r="59" spans="2:4" ht="15.75" x14ac:dyDescent="0.2">
      <c r="B59" s="2"/>
      <c r="C59" s="24"/>
      <c r="D59" s="24"/>
    </row>
    <row r="60" spans="2:4" x14ac:dyDescent="0.2">
      <c r="B60" s="25"/>
      <c r="C60" s="24"/>
      <c r="D60" s="24"/>
    </row>
    <row r="61" spans="2:4" x14ac:dyDescent="0.2">
      <c r="B61" s="23"/>
      <c r="C61" s="24"/>
      <c r="D61" s="24"/>
    </row>
    <row r="62" spans="2:4" x14ac:dyDescent="0.2">
      <c r="B62" s="18"/>
      <c r="C62" s="24"/>
      <c r="D62" s="24"/>
    </row>
    <row r="63" spans="2:4" x14ac:dyDescent="0.2">
      <c r="B63" s="18"/>
      <c r="C63" s="24"/>
      <c r="D63" s="24"/>
    </row>
    <row r="64" spans="2:4" x14ac:dyDescent="0.2">
      <c r="B64" s="18"/>
      <c r="C64" s="24"/>
      <c r="D64" s="24"/>
    </row>
    <row r="65" spans="2:4" x14ac:dyDescent="0.2">
      <c r="B65" s="18"/>
      <c r="C65" s="22"/>
      <c r="D65" s="22"/>
    </row>
    <row r="66" spans="2:4" x14ac:dyDescent="0.2">
      <c r="B66" s="18"/>
      <c r="C66" s="24"/>
      <c r="D66" s="24"/>
    </row>
    <row r="67" spans="2:4" x14ac:dyDescent="0.2">
      <c r="B67" s="18"/>
      <c r="C67" s="24"/>
      <c r="D67" s="24"/>
    </row>
    <row r="68" spans="2:4" x14ac:dyDescent="0.2">
      <c r="B68" s="18"/>
      <c r="C68" s="24"/>
      <c r="D68" s="24"/>
    </row>
    <row r="69" spans="2:4" x14ac:dyDescent="0.2">
      <c r="B69" s="18"/>
      <c r="C69" s="24"/>
      <c r="D69" s="24"/>
    </row>
    <row r="70" spans="2:4" x14ac:dyDescent="0.2">
      <c r="B70" s="18"/>
      <c r="C70" s="24"/>
      <c r="D70" s="24"/>
    </row>
    <row r="71" spans="2:4" x14ac:dyDescent="0.2">
      <c r="B71" s="18"/>
      <c r="C71" s="24"/>
      <c r="D71" s="24"/>
    </row>
    <row r="72" spans="2:4" x14ac:dyDescent="0.2">
      <c r="B72" s="18"/>
      <c r="C72" s="24"/>
      <c r="D72" s="24"/>
    </row>
    <row r="73" spans="2:4" x14ac:dyDescent="0.2">
      <c r="C73" s="22"/>
      <c r="D73" s="22"/>
    </row>
    <row r="74" spans="2:4" x14ac:dyDescent="0.2">
      <c r="C74" s="22"/>
      <c r="D74" s="22"/>
    </row>
    <row r="75" spans="2:4" ht="15.75" x14ac:dyDescent="0.2">
      <c r="B75" s="2"/>
      <c r="C75" s="22"/>
      <c r="D75" s="22"/>
    </row>
    <row r="76" spans="2:4" x14ac:dyDescent="0.2">
      <c r="B76" s="20"/>
      <c r="C76" s="22"/>
      <c r="D76" s="22"/>
    </row>
    <row r="77" spans="2:4" x14ac:dyDescent="0.2">
      <c r="B77" s="23"/>
      <c r="C77" s="22"/>
      <c r="D77" s="22"/>
    </row>
    <row r="78" spans="2:4" x14ac:dyDescent="0.2">
      <c r="B78" s="23"/>
      <c r="C78" s="22"/>
      <c r="D78" s="22"/>
    </row>
    <row r="79" spans="2:4" x14ac:dyDescent="0.2">
      <c r="B79" s="23"/>
      <c r="C79" s="22"/>
      <c r="D79" s="22"/>
    </row>
    <row r="80" spans="2:4" x14ac:dyDescent="0.2">
      <c r="B80" s="23"/>
      <c r="C80" s="22"/>
      <c r="D80" s="22"/>
    </row>
    <row r="81" spans="2:4" x14ac:dyDescent="0.2">
      <c r="C81" s="22"/>
      <c r="D81" s="22"/>
    </row>
    <row r="82" spans="2:4" x14ac:dyDescent="0.2">
      <c r="B82" s="20"/>
      <c r="C82" s="22"/>
      <c r="D82" s="22"/>
    </row>
    <row r="83" spans="2:4" x14ac:dyDescent="0.2">
      <c r="B83" s="21"/>
      <c r="C83" s="22"/>
      <c r="D83" s="22"/>
    </row>
    <row r="84" spans="2:4" x14ac:dyDescent="0.2">
      <c r="B84" s="21"/>
      <c r="C84" s="22"/>
      <c r="D84" s="22"/>
    </row>
    <row r="85" spans="2:4" x14ac:dyDescent="0.2">
      <c r="B85" s="26"/>
      <c r="C85" s="22"/>
      <c r="D85" s="22"/>
    </row>
    <row r="86" spans="2:4" x14ac:dyDescent="0.2">
      <c r="B86" s="26"/>
      <c r="C86" s="22"/>
      <c r="D86" s="22"/>
    </row>
    <row r="87" spans="2:4" x14ac:dyDescent="0.2">
      <c r="B87" s="26"/>
      <c r="C87" s="22"/>
      <c r="D87" s="22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Calculator</vt:lpstr>
      <vt:lpstr>DATA</vt:lpstr>
      <vt:lpstr>initial2CIM</vt:lpstr>
      <vt:lpstr>initial2CIMchoice</vt:lpstr>
      <vt:lpstr>initial3CIM</vt:lpstr>
      <vt:lpstr>initial3CIMchoice</vt:lpstr>
      <vt:lpstr>lowgear3CIM</vt:lpstr>
      <vt:lpstr>lowgear3CIMchoice</vt:lpstr>
      <vt:lpstr>Motors</vt:lpstr>
      <vt:lpstr>Specs</vt:lpstr>
      <vt:lpstr>SSDR</vt:lpstr>
      <vt:lpstr>SSDRchoice</vt:lpstr>
      <vt:lpstr>thirdstage2CIM</vt:lpstr>
      <vt:lpstr>thirdstage2CIMchoice</vt:lpstr>
      <vt:lpstr>thirdstage3CIM</vt:lpstr>
      <vt:lpstr>thirdstage3CIMchoice</vt:lpstr>
      <vt:lpstr>WCPDShighgear</vt:lpstr>
      <vt:lpstr>WCPDShighgearchoice</vt:lpstr>
      <vt:lpstr>WCPDSinput</vt:lpstr>
      <vt:lpstr>WCPDSinputchoice</vt:lpstr>
      <vt:lpstr>WCPDSlowgear</vt:lpstr>
      <vt:lpstr>WCPDSlowgearchoice</vt:lpstr>
      <vt:lpstr>WCPSSinput</vt:lpstr>
      <vt:lpstr>WCPSSinputchoice</vt:lpstr>
      <vt:lpstr>WCPSSsecond</vt:lpstr>
      <vt:lpstr>WCPSSsecondchoice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School</dc:creator>
  <cp:lastModifiedBy>Ari Meles-Braverman</cp:lastModifiedBy>
  <dcterms:created xsi:type="dcterms:W3CDTF">2017-01-17T21:21:45Z</dcterms:created>
  <dcterms:modified xsi:type="dcterms:W3CDTF">2017-07-09T00:23:03Z</dcterms:modified>
</cp:coreProperties>
</file>