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AD-ME" sheetId="1" r:id="rId3"/>
    <sheet state="visible" name="Custom 2-Speed Drive" sheetId="2" r:id="rId4"/>
    <sheet state="visible" name="VEXpro 3-CIM Ball Shifter" sheetId="3" r:id="rId5"/>
    <sheet state="visible" name="VEXpro 2-CIM Ball Shifter" sheetId="4" r:id="rId6"/>
    <sheet state="visible" name="WCP DS" sheetId="5" r:id="rId7"/>
    <sheet state="visible" name="Custom 1-Speed Drive" sheetId="6" r:id="rId8"/>
    <sheet state="visible" name="VEXpro SS,DR" sheetId="7" r:id="rId9"/>
    <sheet state="visible" name="WCP SS" sheetId="8" r:id="rId10"/>
    <sheet state="visible" name="Articulating Drive" sheetId="9" r:id="rId11"/>
    <sheet state="visible" name="Rotary Mechanism" sheetId="10" r:id="rId12"/>
    <sheet state="visible" name="Linear Mechanism" sheetId="11" r:id="rId13"/>
    <sheet state="visible" name="Intake Mechanism" sheetId="12" r:id="rId14"/>
    <sheet state="visible" name="DATA" sheetId="13" r:id="rId15"/>
  </sheets>
  <definedNames>
    <definedName name="thirdstage3CIM">DATA!$B$57:$D$61</definedName>
    <definedName name="WCPSSinputchoice">DATA!$B$82:$B$85</definedName>
    <definedName name="WCPSSinput">DATA!$B$82:$D$85</definedName>
    <definedName name="WCPDShighgearchoice">DATA!$B$40:$B$42</definedName>
    <definedName name="thirdstage2CIM">DATA!$B$69:$D$73</definedName>
    <definedName name="SSDR">DATA!$B$75:$D$77</definedName>
    <definedName name="initial2CIM">DATA!$B$66:$D$67</definedName>
    <definedName name="Motor">DATA!$J$5:$N$13</definedName>
    <definedName name="MotorTwochoice">DATA!$J$16:$J$20</definedName>
    <definedName name="lowgear3CIMchoice">DATA!$B$53:$B$55</definedName>
    <definedName name="initial3CIMchoice">DATA!$B$48:$B$49</definedName>
    <definedName name="WCPSSsecond">DATA!$B$88:$D$92</definedName>
    <definedName name="Specs">DATA!$B$4:$G$20</definedName>
    <definedName name="SSDRchoice">DATA!$B$75:$B$77</definedName>
    <definedName name="WCPDSinput">DATA!$B$28:$D$33</definedName>
    <definedName name="lowgear3CIM">DATA!$B$53:$D$55</definedName>
    <definedName name="initial3CIM">DATA!$B$48:$D$49</definedName>
    <definedName name="thirdstage2CIMchoice">DATA!$B$69:$B$73</definedName>
    <definedName name="WCPSSsecondchoice">DATA!$B$88:$B$92</definedName>
    <definedName name="WCPDSinputchoice">DATA!$B$28:$B$33</definedName>
    <definedName name="MotorTwo">DATA!$J$16:$N$20</definedName>
    <definedName name="WCPDSlowgearchoice">DATA!$B$36:$B$37</definedName>
    <definedName name="thirdstage3CIMchoice">DATA!$B$57:$B$61</definedName>
    <definedName name="initial2CIMchoice">DATA!$B$66:$B$67</definedName>
    <definedName name="Motors">DATA!$B$5:$B$20</definedName>
    <definedName name="WCPDShighgear">DATA!$B$40:$D$42</definedName>
    <definedName name="MotorChoice">DATA!$J$5:$J$13</definedName>
    <definedName name="WCPDSlowgear">DATA!$B$36:$D$37</definedName>
  </definedNames>
  <calcPr/>
</workbook>
</file>

<file path=xl/sharedStrings.xml><?xml version="1.0" encoding="utf-8"?>
<sst xmlns="http://schemas.openxmlformats.org/spreadsheetml/2006/main" count="434" uniqueCount="209">
  <si>
    <t>VEXpro 3-CIM Ball Shifter Drivetrain</t>
  </si>
  <si>
    <t>2-Speed Drivetrain</t>
  </si>
  <si>
    <t>http://www.vexrobotics.com/vexpro/motion/gearboxes/3cimballshifter.html</t>
  </si>
  <si>
    <t>Free Speed (RPM)</t>
  </si>
  <si>
    <t>Stall Torque (N*m)</t>
  </si>
  <si>
    <t>Stall Current (Amp)</t>
  </si>
  <si>
    <t>Free Current (Amp)</t>
  </si>
  <si>
    <t>"Real Life" Speed Loss Constant</t>
  </si>
  <si>
    <t>Drivetrain Efficiency</t>
  </si>
  <si>
    <t>Choose Gearbox Motors:</t>
  </si>
  <si>
    <t>CIM</t>
  </si>
  <si>
    <t>2 CIM</t>
  </si>
  <si>
    <t># Gearboxes in Drivetrain</t>
  </si>
  <si>
    <t># Motors per Gearbox</t>
  </si>
  <si>
    <t>Total Robot Weight (lbs)</t>
  </si>
  <si>
    <t>Weight on Driven Wheels</t>
  </si>
  <si>
    <t>Wheel Dia. (in)</t>
  </si>
  <si>
    <t>Wheel Coeff</t>
  </si>
  <si>
    <t>Wheel Coeff of Friction</t>
  </si>
  <si>
    <t>Select VEXpro Gearbox Options:</t>
  </si>
  <si>
    <t>Driving               Gear</t>
  </si>
  <si>
    <t>Driven                     Gear</t>
  </si>
  <si>
    <t>High Speed Driving Gear</t>
  </si>
  <si>
    <t>High Speed Driven Gear</t>
  </si>
  <si>
    <t>Drivetrain High Gear Free-Speed</t>
  </si>
  <si>
    <t>Drivetrain High Gear "Real Life" Speed</t>
  </si>
  <si>
    <t>"Pushing" Current Draw per Motor</t>
  </si>
  <si>
    <t>Choose Motor Pinions:</t>
  </si>
  <si>
    <t>Standard 12-tooth Pinion [50:12]</t>
  </si>
  <si>
    <t>Choose Low Gear Option:</t>
  </si>
  <si>
    <t>Low Gear Option 1 (2.16x Shifter Spread) [50:34]</t>
  </si>
  <si>
    <t>Choose 3rd Stage Gearing:</t>
  </si>
  <si>
    <t>3rd Stage Option 1 [64:20]</t>
  </si>
  <si>
    <t>External Reduction:</t>
  </si>
  <si>
    <t>Drivetrain Outputs:</t>
  </si>
  <si>
    <t>Drivetrain Free-Speed</t>
  </si>
  <si>
    <t>Drivetrain "Real Life" Speed</t>
  </si>
  <si>
    <t>"Pushing" Current Draw per Gearbox</t>
  </si>
  <si>
    <t>Overal Ratio</t>
  </si>
  <si>
    <t>High Gear Outputs:</t>
  </si>
  <si>
    <t>&lt;-- High Gear</t>
  </si>
  <si>
    <t>Low Speed Driving Gear</t>
  </si>
  <si>
    <t>Low Speed Driven Gear</t>
  </si>
  <si>
    <t>Drivetrain Low Gear Free-Speed</t>
  </si>
  <si>
    <t>Drivetrain Low Gear "Real Life" Speed</t>
  </si>
  <si>
    <t>&lt;--Shifter Spread</t>
  </si>
  <si>
    <t>Low Gear Outputs</t>
  </si>
  <si>
    <t>&lt;-- Low Gear</t>
  </si>
  <si>
    <t>Make of a copy of me to use this! - File -&gt; Make a copy</t>
  </si>
  <si>
    <t>JVN DesignCalc - Gearing &amp; Motor Calculator</t>
  </si>
  <si>
    <t>Release 2/14/2016</t>
  </si>
  <si>
    <t>Note, this calculator is provided as a design reference ONLY.</t>
  </si>
  <si>
    <t>Chosen Gearing Config:</t>
  </si>
  <si>
    <t>I can NOT guarantee the performance of every specific configuration designed by a team.</t>
  </si>
  <si>
    <r>
      <t xml:space="preserve">Contact </t>
    </r>
    <r>
      <rPr>
        <rFont val="Calibri"/>
        <b/>
        <color rgb="FFFF0000"/>
        <sz val="12.0"/>
        <u/>
      </rPr>
      <t>john.vneun@gmail.com</t>
    </r>
    <r>
      <rPr>
        <rFont val="Calibri"/>
        <color rgb="FF000000"/>
        <sz val="12.0"/>
      </rPr>
      <t xml:space="preserve"> for assistance.</t>
    </r>
  </si>
  <si>
    <t>Initial Gearing Stage:</t>
  </si>
  <si>
    <t>Notes:</t>
  </si>
  <si>
    <t>Drop down cells, used to choose between specifically available options.  Click and choose from a list.</t>
  </si>
  <si>
    <t>Entry cells, used to input values specific to the designer's robot.  Type custom data.</t>
  </si>
  <si>
    <t>High Gear Stage:</t>
  </si>
  <si>
    <t>Low Gear Stage:</t>
  </si>
  <si>
    <t>3rd Gearbox Stage:</t>
  </si>
  <si>
    <t>External Stage:</t>
  </si>
  <si>
    <t>High-Low Spread:</t>
  </si>
  <si>
    <t>Release History:</t>
  </si>
  <si>
    <t>http://www.chiefdelphi.com/media/papers/3188?</t>
  </si>
  <si>
    <t>Initial 2016 Release</t>
  </si>
  <si>
    <t xml:space="preserve">
Incorporates the "tested" motor values from motors.vex.com</t>
  </si>
  <si>
    <t>Includes drop-downs to select motors directly from gearing sheets (or you can still enter your own numbers).</t>
  </si>
  <si>
    <t>Includes sheets for design of drivetrains using VEXpro and WCP gearboxes (with drop-down selection of gearing options)</t>
  </si>
  <si>
    <t>Includes a sheet for articulated drives (Butterfly, Octocanum, etc) with different wheel types, and varied gearing between wheels.</t>
  </si>
  <si>
    <t>Some sheets have been simplified for inexperienced users.</t>
  </si>
  <si>
    <t>Sheets have been tweaked to make it easier to have "multiple iterations" on the same worksheet.</t>
  </si>
  <si>
    <t>Added RS-550 Motor Data from motors.vex.com</t>
  </si>
  <si>
    <t>Changed the Motor selection lookup formula on the "non VEXpro" sheets to better allow for multiple iterations on the same sheet</t>
  </si>
  <si>
    <t>Added additional "All MiniCIM" motor selection options on VEXpro sheets</t>
  </si>
  <si>
    <t>Fixed some formatting that no one else would notice but was driving me nuts</t>
  </si>
  <si>
    <t>Added a release history</t>
  </si>
  <si>
    <t>Fixed an error in the Intake mechanism sheet which applied the load based on the pulley diameter instead of radius</t>
  </si>
  <si>
    <t>(Yes, that means I forgot to divide by 2 at some point)</t>
  </si>
  <si>
    <t>VEXpro 2-CIM Ball Shifter Drivetrain</t>
  </si>
  <si>
    <t>http://www.vexrobotics.com/vexpro/motion/gearboxes/ball-shifter.html</t>
  </si>
  <si>
    <t>WCP DS Gearbox Drivetrain</t>
  </si>
  <si>
    <t>http://www.vexrobotics.com/vexpro/motion/gearboxes/wcp-ds.html</t>
  </si>
  <si>
    <t>3 CIM</t>
  </si>
  <si>
    <t>1-Speed Drivetrain</t>
  </si>
  <si>
    <t>Speed Loss Constant</t>
  </si>
  <si>
    <t>Select WCP DS Gearbox Options:</t>
  </si>
  <si>
    <t>Standard 12-tooth Pinion [40:12]</t>
  </si>
  <si>
    <t>Choose Initial Reduction:</t>
  </si>
  <si>
    <t>12:42</t>
  </si>
  <si>
    <t>3rd Stage Option 1 [50:34]</t>
  </si>
  <si>
    <t>Total Weight (lbs)</t>
  </si>
  <si>
    <t>24:50</t>
  </si>
  <si>
    <t>Choose High Gear Option:</t>
  </si>
  <si>
    <t>30:44</t>
  </si>
  <si>
    <t>Drivetrain Adjusted Speed</t>
  </si>
  <si>
    <t>&lt;-- Overall Gear Ratio</t>
  </si>
  <si>
    <t>VEXpro Single Speed, Double Reduction Drivetrain</t>
  </si>
  <si>
    <t>http://www.vexrobotics.com/vexpro/motion/gearboxes/single-speed-double-reduction.html</t>
  </si>
  <si>
    <t>Choose 2nd Stage Gearing:</t>
  </si>
  <si>
    <t>Standard 2nd Stage [40:14]</t>
  </si>
  <si>
    <t>Additional External Reduction:</t>
  </si>
  <si>
    <t>2nd Gearbox Stage:</t>
  </si>
  <si>
    <t>WCP SS Gearbox Drivetrain</t>
  </si>
  <si>
    <t>http://www.vexrobotics.com/vexpro/motion/gearboxes/wcp-ss.html</t>
  </si>
  <si>
    <t>11-tooth Pinion [50:11]</t>
  </si>
  <si>
    <t>Articulating Drivetrain</t>
  </si>
  <si>
    <t>2nd Stage Option 1 [40:34]</t>
  </si>
  <si>
    <t>Robot (lbs)</t>
  </si>
  <si>
    <t>Bumpers (lbs)</t>
  </si>
  <si>
    <t>Battery (lbs)</t>
  </si>
  <si>
    <t>Drivetrain Config:</t>
  </si>
  <si>
    <t>Primary Wheel Dia. (in)</t>
  </si>
  <si>
    <t>Primary Coeff</t>
  </si>
  <si>
    <t>Primary Free-Speed (ft/s)</t>
  </si>
  <si>
    <t>Primary Adjusted Speed (ft/s)</t>
  </si>
  <si>
    <t>Secondary Wheel Dia. (in)</t>
  </si>
  <si>
    <t>Secondary Coeff</t>
  </si>
  <si>
    <t>Secondary Free-Speed (ft/s)</t>
  </si>
  <si>
    <t>Secondary Adjusted Speed (ft/s)</t>
  </si>
  <si>
    <t>&lt;--"Shifter" Spread</t>
  </si>
  <si>
    <t>Rotary Mechanism</t>
  </si>
  <si>
    <t>BAG Motor</t>
  </si>
  <si>
    <t>Gearbox Efficiency</t>
  </si>
  <si>
    <t>Arm Load (lbs)</t>
  </si>
  <si>
    <t>Arm Length (in)</t>
  </si>
  <si>
    <t>Arm Rotational Speed</t>
  </si>
  <si>
    <t>Arm Time to move 90-degrees</t>
  </si>
  <si>
    <t>No Load:</t>
  </si>
  <si>
    <t>Loaded:</t>
  </si>
  <si>
    <t>&lt;-- Overall Ratio</t>
  </si>
  <si>
    <t>Current Draw per Motor  (loaded)</t>
  </si>
  <si>
    <t>Stall Load</t>
  </si>
  <si>
    <t>Intake Mechanism</t>
  </si>
  <si>
    <t>Linear Mechanism</t>
  </si>
  <si>
    <t>Travel Distance (in)</t>
  </si>
  <si>
    <t># Intake Sides (1 or 2)</t>
  </si>
  <si>
    <t>Roller Diameter (in)</t>
  </si>
  <si>
    <t>Drag Load (lb)</t>
  </si>
  <si>
    <t>Intake Linear Speed</t>
  </si>
  <si>
    <t>Intake Time to move Travel Distance</t>
  </si>
  <si>
    <t>Applied Load (lbs)</t>
  </si>
  <si>
    <t>Pulley Diameter (in)</t>
  </si>
  <si>
    <t>Elevator Linear Speed</t>
  </si>
  <si>
    <t>Arm Time to move Travel Distance</t>
  </si>
  <si>
    <t>Current Draw per Motor (loaded)</t>
  </si>
  <si>
    <t>Stall Drag Load</t>
  </si>
  <si>
    <t>Motor Specifications</t>
  </si>
  <si>
    <t>All specifications listed at 12V based on empirical testing by VEX Robotics, "combined motor" specs calculated using Paul Copioli's "Useful Calculations" spreadsheet.</t>
  </si>
  <si>
    <t>For testing details refer to: motors.vex.com</t>
  </si>
  <si>
    <t>Specs used for VEXpro &amp; WCP Gearbox Calculators</t>
  </si>
  <si>
    <t>Stall Torque (N-m)</t>
  </si>
  <si>
    <t>Power (W)</t>
  </si>
  <si>
    <t>1 Mini CIM</t>
  </si>
  <si>
    <t>Mini CIM</t>
  </si>
  <si>
    <t>1 CIM</t>
  </si>
  <si>
    <t>2 Mini CIM</t>
  </si>
  <si>
    <t>775pro</t>
  </si>
  <si>
    <t>1 CIM + 1 Mini CIM (Copioli)</t>
  </si>
  <si>
    <t>AM 775</t>
  </si>
  <si>
    <t>3 Mini CIM</t>
  </si>
  <si>
    <t>AM 9015</t>
  </si>
  <si>
    <t>1 CIM + 2 Mini CIM (Copioli)</t>
  </si>
  <si>
    <t>2 CIM + 1 Mini CIM (Copioli)</t>
  </si>
  <si>
    <t>BB RS-775-18</t>
  </si>
  <si>
    <t>BB RS-550</t>
  </si>
  <si>
    <t>Redline</t>
  </si>
  <si>
    <t>Window RH</t>
  </si>
  <si>
    <t>Window LH</t>
  </si>
  <si>
    <t>Snowblower</t>
  </si>
  <si>
    <t>NEO</t>
  </si>
  <si>
    <t>WCP - DS Gear Options</t>
  </si>
  <si>
    <t>Input Stage</t>
  </si>
  <si>
    <t>11:42</t>
  </si>
  <si>
    <t>13:42</t>
  </si>
  <si>
    <t>13:40</t>
  </si>
  <si>
    <t>14:42</t>
  </si>
  <si>
    <t>14:40</t>
  </si>
  <si>
    <t>Low Gear Options</t>
  </si>
  <si>
    <t>14:60</t>
  </si>
  <si>
    <t>High Gear Options</t>
  </si>
  <si>
    <t>34:40</t>
  </si>
  <si>
    <t>3-CIM Ball Shifter</t>
  </si>
  <si>
    <t>Initial Stage</t>
  </si>
  <si>
    <t>Optional 11-tooth Pinion [50:11]</t>
  </si>
  <si>
    <t>High Gear</t>
  </si>
  <si>
    <t>Low Gear Option 2 (2.65x Shifter Spread) [54:30]</t>
  </si>
  <si>
    <t>Low Gear Option 3 (3.68x Shifter Spread) [60:24]</t>
  </si>
  <si>
    <t>NO 3rd Stage Gearing</t>
  </si>
  <si>
    <t>3rd Stage Option 2 [60:24]</t>
  </si>
  <si>
    <t>3rd Stage Option 3 [54:30]</t>
  </si>
  <si>
    <t>3rd Stage Option 4 [50:34]</t>
  </si>
  <si>
    <t>2-CIM Ball Shifter</t>
  </si>
  <si>
    <t>Optional 11-tooth Pinion [40:11]</t>
  </si>
  <si>
    <t>3rd Stage Option 2 [54:30]</t>
  </si>
  <si>
    <t>3rd Stage Option 3 [60:24]</t>
  </si>
  <si>
    <t>3rd Stage Option 4 [64:20]</t>
  </si>
  <si>
    <t>Optional 2nd Stage [34:20]</t>
  </si>
  <si>
    <t>Optional 2nd Stage [30:24]</t>
  </si>
  <si>
    <t>WCP - SS Gear Options</t>
  </si>
  <si>
    <t>12-tooth Pinion [50:12]</t>
  </si>
  <si>
    <t>13-tooth Pinion [50:13]</t>
  </si>
  <si>
    <t>14-tooth Pinion [50:14]</t>
  </si>
  <si>
    <t>Second Stage</t>
  </si>
  <si>
    <t>2nd Stage Option 2 [44:30]</t>
  </si>
  <si>
    <t>2nd Stage Option 3 [50:24]</t>
  </si>
  <si>
    <t>2nd Stage Option 4 [54:20]</t>
  </si>
  <si>
    <t>2nd Stage Option 5 [60:14]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</si>
</sst>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0.00\ &quot;ft/s&quot;"/>
    <numFmt numFmtId="165" formatCode="0.00\ &quot;Amps&quot;"/>
    <numFmt numFmtId="166" formatCode="0.00\ &quot;: 1&quot;"/>
    <numFmt numFmtId="167" formatCode="0.00\ \x"/>
    <numFmt numFmtId="168" formatCode="0.0\ &quot;deg/s&quot;"/>
    <numFmt numFmtId="169" formatCode="0.00\ &quot;sec&quot;"/>
    <numFmt numFmtId="170" formatCode="0.00\ &quot;amps&quot;"/>
    <numFmt numFmtId="171" formatCode="0.00\ &quot;lbs&quot;"/>
    <numFmt numFmtId="172" formatCode="0.0\ &quot;in/s&quot;"/>
  </numFmts>
  <fonts count="18">
    <font>
      <sz val="12.0"/>
      <color rgb="FF000000"/>
      <name val="Calibri"/>
    </font>
    <font>
      <b/>
      <sz val="12.0"/>
      <name val="Calibri"/>
    </font>
    <font>
      <sz val="12.0"/>
      <name val="Calibri"/>
    </font>
    <font>
      <u/>
      <sz val="12.0"/>
      <color rgb="FF0000FF"/>
      <name val="Calibri"/>
    </font>
    <font>
      <b/>
      <sz val="12.0"/>
      <color rgb="FF000000"/>
      <name val="Calibri"/>
    </font>
    <font>
      <sz val="12.0"/>
      <color rgb="FFFF0000"/>
      <name val="Calibri"/>
    </font>
    <font/>
    <font>
      <b/>
      <sz val="12.0"/>
      <color rgb="FFFF0000"/>
      <name val="Calibri"/>
    </font>
    <font>
      <b/>
      <sz val="14.0"/>
      <color rgb="FF000000"/>
      <name val="Calibri"/>
    </font>
    <font>
      <b/>
      <sz val="16.0"/>
      <color rgb="FF000000"/>
      <name val="Calibri"/>
    </font>
    <font>
      <sz val="11.0"/>
      <color rgb="FF000000"/>
      <name val="Calibri"/>
    </font>
    <font>
      <u/>
      <sz val="12.0"/>
      <color rgb="FF0000FF"/>
      <name val="Calibri"/>
    </font>
    <font>
      <sz val="10.0"/>
      <color rgb="FF000000"/>
      <name val="Arial"/>
    </font>
    <font>
      <b/>
      <sz val="12.0"/>
      <color rgb="FFC0504D"/>
      <name val="Arial"/>
    </font>
    <font>
      <b/>
      <sz val="8.0"/>
      <color rgb="FFC0504D"/>
      <name val="Arial"/>
    </font>
    <font>
      <b/>
      <sz val="10.0"/>
      <name val="Arial"/>
    </font>
    <font>
      <sz val="10.0"/>
      <name val="Arial"/>
    </font>
    <font>
      <b/>
      <sz val="10.0"/>
      <color rgb="FF00000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8DB3E2"/>
        <bgColor rgb="FF8DB3E2"/>
      </patternFill>
    </fill>
    <fill>
      <patternFill patternType="solid">
        <fgColor rgb="FFF2DBDB"/>
        <bgColor rgb="FFF2DBDB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</fills>
  <borders count="17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left/>
      <right/>
      <top/>
      <bottom/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9BBB59"/>
      </top>
    </border>
  </borders>
  <cellStyleXfs count="1">
    <xf borderId="0" fillId="0" fontId="0" numFmtId="0" applyAlignment="1" applyFont="1"/>
  </cellStyleXfs>
  <cellXfs count="105"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vertical="center"/>
    </xf>
    <xf borderId="0" fillId="0" fontId="0" numFmtId="0" xfId="0" applyFont="1"/>
    <xf borderId="0" fillId="0" fontId="1" numFmtId="0" xfId="0" applyAlignment="1" applyFont="1">
      <alignment vertical="center"/>
    </xf>
    <xf borderId="1" fillId="0" fontId="0" numFmtId="0" xfId="0" applyAlignment="1" applyBorder="1" applyFont="1">
      <alignment vertical="center"/>
    </xf>
    <xf borderId="2" fillId="0" fontId="0" numFmtId="0" xfId="0" applyAlignment="1" applyBorder="1" applyFont="1">
      <alignment vertical="center"/>
    </xf>
    <xf borderId="2" fillId="0" fontId="2" numFmtId="0" xfId="0" applyAlignment="1" applyBorder="1" applyFont="1">
      <alignment vertical="center"/>
    </xf>
    <xf borderId="3" fillId="0" fontId="0" numFmtId="0" xfId="0" applyAlignment="1" applyBorder="1" applyFont="1">
      <alignment vertical="center"/>
    </xf>
    <xf borderId="0" fillId="0" fontId="0" numFmtId="0" xfId="0" applyAlignment="1" applyFont="1">
      <alignment horizontal="center" shrinkToFit="0" vertical="center" wrapText="1"/>
    </xf>
    <xf borderId="4" fillId="0" fontId="0" numFmtId="0" xfId="0" applyAlignment="1" applyBorder="1" applyFont="1">
      <alignment horizontal="center" shrinkToFit="0" vertical="center" wrapText="1"/>
    </xf>
    <xf borderId="5" fillId="0" fontId="0" numFmtId="0" xfId="0" applyAlignment="1" applyBorder="1" applyFont="1">
      <alignment horizontal="center" shrinkToFit="0" vertical="center" wrapText="1"/>
    </xf>
    <xf borderId="6" fillId="0" fontId="0" numFmtId="0" xfId="0" applyAlignment="1" applyBorder="1" applyFont="1">
      <alignment horizontal="center" shrinkToFit="0" vertical="center" wrapText="1"/>
    </xf>
    <xf borderId="0" fillId="0" fontId="3" numFmtId="0" xfId="0" applyFont="1"/>
    <xf borderId="0" fillId="0" fontId="0" numFmtId="0" xfId="0" applyAlignment="1" applyFont="1">
      <alignment horizontal="center" vertical="center"/>
    </xf>
    <xf borderId="4" fillId="0" fontId="0" numFmtId="0" xfId="0" applyAlignment="1" applyBorder="1" applyFont="1">
      <alignment horizontal="center" vertical="center"/>
    </xf>
    <xf borderId="0" fillId="0" fontId="0" numFmtId="0" xfId="0" applyAlignment="1" applyFont="1">
      <alignment horizontal="right"/>
    </xf>
    <xf borderId="7" fillId="2" fontId="0" numFmtId="0" xfId="0" applyAlignment="1" applyBorder="1" applyFill="1" applyFont="1">
      <alignment horizontal="right" vertical="center"/>
    </xf>
    <xf borderId="8" fillId="0" fontId="0" numFmtId="1" xfId="0" applyAlignment="1" applyBorder="1" applyFont="1" applyNumberFormat="1">
      <alignment horizontal="center" vertical="center"/>
    </xf>
    <xf borderId="5" fillId="0" fontId="0" numFmtId="1" xfId="0" applyAlignment="1" applyBorder="1" applyFont="1" applyNumberFormat="1">
      <alignment horizontal="center" vertical="center"/>
    </xf>
    <xf borderId="5" fillId="0" fontId="0" numFmtId="2" xfId="0" applyAlignment="1" applyBorder="1" applyFont="1" applyNumberFormat="1">
      <alignment horizontal="center" vertical="center"/>
    </xf>
    <xf borderId="6" fillId="0" fontId="0" numFmtId="0" xfId="0" applyAlignment="1" applyBorder="1" applyFont="1">
      <alignment horizontal="center" vertical="center"/>
    </xf>
    <xf borderId="4" fillId="0" fontId="0" numFmtId="0" xfId="0" applyAlignment="1" applyBorder="1" applyFont="1">
      <alignment vertical="center"/>
    </xf>
    <xf borderId="5" fillId="3" fontId="0" numFmtId="9" xfId="0" applyAlignment="1" applyBorder="1" applyFill="1" applyFont="1" applyNumberFormat="1">
      <alignment horizontal="center" vertical="center"/>
    </xf>
    <xf borderId="6" fillId="0" fontId="0" numFmtId="0" xfId="0" applyAlignment="1" applyBorder="1" applyFont="1">
      <alignment vertical="center"/>
    </xf>
    <xf borderId="5" fillId="0" fontId="2" numFmtId="0" xfId="0" applyAlignment="1" applyBorder="1" applyFont="1">
      <alignment horizontal="center" shrinkToFit="0" vertical="center" wrapText="1"/>
    </xf>
    <xf borderId="5" fillId="3" fontId="0" numFmtId="0" xfId="0" applyAlignment="1" applyBorder="1" applyFont="1">
      <alignment horizontal="center" vertical="center"/>
    </xf>
    <xf borderId="9" fillId="0" fontId="0" numFmtId="0" xfId="0" applyAlignment="1" applyBorder="1" applyFont="1">
      <alignment vertical="center"/>
    </xf>
    <xf borderId="10" fillId="0" fontId="0" numFmtId="0" xfId="0" applyAlignment="1" applyBorder="1" applyFont="1">
      <alignment vertical="center"/>
    </xf>
    <xf borderId="10" fillId="0" fontId="0" numFmtId="0" xfId="0" applyAlignment="1" applyBorder="1" applyFont="1">
      <alignment horizontal="center" vertical="center"/>
    </xf>
    <xf borderId="10" fillId="0" fontId="0" numFmtId="0" xfId="0" applyAlignment="1" applyBorder="1" applyFont="1">
      <alignment horizontal="left" vertical="center"/>
    </xf>
    <xf borderId="10" fillId="0" fontId="0" numFmtId="0" xfId="0" applyAlignment="1" applyBorder="1" applyFont="1">
      <alignment horizontal="center" shrinkToFit="0" vertical="center" wrapText="1"/>
    </xf>
    <xf borderId="11" fillId="0" fontId="0" numFmtId="0" xfId="0" applyAlignment="1" applyBorder="1" applyFont="1">
      <alignment vertical="center"/>
    </xf>
    <xf borderId="2" fillId="0" fontId="0" numFmtId="0" xfId="0" applyAlignment="1" applyBorder="1" applyFont="1">
      <alignment horizontal="center" vertical="center"/>
    </xf>
    <xf borderId="1" fillId="0" fontId="4" numFmtId="0" xfId="0" applyAlignment="1" applyBorder="1" applyFont="1">
      <alignment vertical="center"/>
    </xf>
    <xf borderId="2" fillId="0" fontId="0" numFmtId="0" xfId="0" applyAlignment="1" applyBorder="1" applyFont="1">
      <alignment horizontal="left" vertical="center"/>
    </xf>
    <xf borderId="2" fillId="0" fontId="4" numFmtId="0" xfId="0" applyAlignment="1" applyBorder="1" applyFont="1">
      <alignment vertical="center"/>
    </xf>
    <xf borderId="2" fillId="0" fontId="0" numFmtId="0" xfId="0" applyAlignment="1" applyBorder="1" applyFont="1">
      <alignment horizontal="center" shrinkToFit="0" vertical="center" wrapText="1"/>
    </xf>
    <xf borderId="4" fillId="0" fontId="4" numFmtId="0" xfId="0" applyAlignment="1" applyBorder="1" applyFont="1">
      <alignment vertical="center"/>
    </xf>
    <xf borderId="5" fillId="4" fontId="2" numFmtId="0" xfId="0" applyAlignment="1" applyBorder="1" applyFill="1" applyFont="1">
      <alignment horizontal="center" shrinkToFit="0" vertical="center" wrapText="1"/>
    </xf>
    <xf borderId="0" fillId="0" fontId="4" numFmtId="0" xfId="0" applyAlignment="1" applyFont="1">
      <alignment vertical="center"/>
    </xf>
    <xf borderId="5" fillId="5" fontId="2" numFmtId="0" xfId="0" applyAlignment="1" applyBorder="1" applyFill="1" applyFont="1">
      <alignment horizontal="center" shrinkToFit="0" vertical="center" wrapText="1"/>
    </xf>
    <xf borderId="4" fillId="0" fontId="0" numFmtId="0" xfId="0" applyAlignment="1" applyBorder="1" applyFont="1">
      <alignment horizontal="left" vertical="center"/>
    </xf>
    <xf borderId="0" fillId="0" fontId="0" numFmtId="0" xfId="0" applyAlignment="1" applyFont="1">
      <alignment horizontal="right" vertical="center"/>
    </xf>
    <xf borderId="12" fillId="2" fontId="0" numFmtId="0" xfId="0" applyAlignment="1" applyBorder="1" applyFont="1">
      <alignment horizontal="center" vertical="center"/>
    </xf>
    <xf borderId="5" fillId="0" fontId="5" numFmtId="164" xfId="0" applyAlignment="1" applyBorder="1" applyFont="1" applyNumberFormat="1">
      <alignment horizontal="center" vertical="center"/>
    </xf>
    <xf borderId="13" fillId="0" fontId="6" numFmtId="0" xfId="0" applyBorder="1" applyFont="1"/>
    <xf borderId="14" fillId="0" fontId="6" numFmtId="0" xfId="0" applyBorder="1" applyFont="1"/>
    <xf borderId="0" fillId="0" fontId="0" numFmtId="0" xfId="0" applyAlignment="1" applyFont="1">
      <alignment horizontal="left" vertical="center"/>
    </xf>
    <xf borderId="5" fillId="0" fontId="7" numFmtId="164" xfId="0" applyAlignment="1" applyBorder="1" applyFont="1" applyNumberFormat="1">
      <alignment horizontal="center" vertical="center"/>
    </xf>
    <xf borderId="5" fillId="0" fontId="0" numFmtId="165" xfId="0" applyAlignment="1" applyBorder="1" applyFont="1" applyNumberFormat="1">
      <alignment horizontal="center" vertical="center"/>
    </xf>
    <xf borderId="0" fillId="0" fontId="0" numFmtId="166" xfId="0" applyAlignment="1" applyFont="1" applyNumberFormat="1">
      <alignment vertical="center"/>
    </xf>
    <xf borderId="5" fillId="6" fontId="2" numFmtId="0" xfId="0" applyAlignment="1" applyBorder="1" applyFill="1" applyFont="1">
      <alignment horizontal="center" shrinkToFit="0" vertical="center" wrapText="1"/>
    </xf>
    <xf borderId="0" fillId="0" fontId="0" numFmtId="167" xfId="0" applyAlignment="1" applyFont="1" applyNumberFormat="1">
      <alignment horizontal="center" vertical="center"/>
    </xf>
    <xf borderId="5" fillId="0" fontId="0" numFmtId="166" xfId="0" applyAlignment="1" applyBorder="1" applyFont="1" applyNumberFormat="1">
      <alignment horizontal="center" vertical="center"/>
    </xf>
    <xf borderId="0" fillId="0" fontId="8" numFmtId="0" xfId="0" applyAlignment="1" applyFont="1">
      <alignment readingOrder="0"/>
    </xf>
    <xf borderId="0" fillId="0" fontId="9" numFmtId="0" xfId="0" applyFont="1"/>
    <xf borderId="0" fillId="0" fontId="7" numFmtId="0" xfId="0" applyFont="1"/>
    <xf borderId="0" fillId="0" fontId="2" numFmtId="0" xfId="0" applyAlignment="1" applyFont="1">
      <alignment vertical="center"/>
    </xf>
    <xf borderId="0" fillId="0" fontId="2" numFmtId="0" xfId="0" applyAlignment="1" applyFont="1">
      <alignment horizontal="center" shrinkToFit="0" vertical="center" wrapText="1"/>
    </xf>
    <xf borderId="0" fillId="0" fontId="4" numFmtId="0" xfId="0" applyFont="1"/>
    <xf borderId="15" fillId="2" fontId="0" numFmtId="0" xfId="0" applyAlignment="1" applyBorder="1" applyFont="1">
      <alignment horizontal="right" vertical="center"/>
    </xf>
    <xf borderId="5" fillId="0" fontId="0" numFmtId="0" xfId="0" applyAlignment="1" applyBorder="1" applyFont="1">
      <alignment horizontal="center" vertical="center"/>
    </xf>
    <xf borderId="15" fillId="3" fontId="10" numFmtId="0" xfId="0" applyAlignment="1" applyBorder="1" applyFont="1">
      <alignment horizontal="center" vertical="center"/>
    </xf>
    <xf borderId="4" fillId="0" fontId="0" numFmtId="0" xfId="0" applyAlignment="1" applyBorder="1" applyFont="1">
      <alignment horizontal="right" vertical="center"/>
    </xf>
    <xf borderId="10" fillId="0" fontId="0" numFmtId="167" xfId="0" applyAlignment="1" applyBorder="1" applyFont="1" applyNumberFormat="1">
      <alignment horizontal="center" vertical="center"/>
    </xf>
    <xf borderId="10" fillId="0" fontId="0" numFmtId="0" xfId="0" applyBorder="1" applyFont="1"/>
    <xf borderId="0" fillId="0" fontId="0" numFmtId="14" xfId="0" applyFont="1" applyNumberFormat="1"/>
    <xf borderId="0" fillId="0" fontId="11" numFmtId="0" xfId="0" applyAlignment="1" applyFont="1">
      <alignment vertical="center"/>
    </xf>
    <xf borderId="0" fillId="0" fontId="0" numFmtId="166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16" fillId="0" fontId="0" numFmtId="0" xfId="0" applyBorder="1" applyFont="1"/>
    <xf borderId="5" fillId="0" fontId="5" numFmtId="2" xfId="0" applyAlignment="1" applyBorder="1" applyFont="1" applyNumberFormat="1">
      <alignment horizontal="center" vertical="center"/>
    </xf>
    <xf borderId="5" fillId="0" fontId="5" numFmtId="168" xfId="0" applyAlignment="1" applyBorder="1" applyFont="1" applyNumberFormat="1">
      <alignment horizontal="center" vertical="center"/>
    </xf>
    <xf borderId="5" fillId="0" fontId="5" numFmtId="169" xfId="0" applyAlignment="1" applyBorder="1" applyFont="1" applyNumberFormat="1">
      <alignment horizontal="center" vertical="center"/>
    </xf>
    <xf borderId="0" fillId="0" fontId="0" numFmtId="166" xfId="0" applyAlignment="1" applyFont="1" applyNumberFormat="1">
      <alignment horizontal="center" vertical="top"/>
    </xf>
    <xf borderId="0" fillId="0" fontId="0" numFmtId="0" xfId="0" applyAlignment="1" applyFont="1">
      <alignment vertical="top"/>
    </xf>
    <xf borderId="5" fillId="0" fontId="5" numFmtId="170" xfId="0" applyAlignment="1" applyBorder="1" applyFont="1" applyNumberFormat="1">
      <alignment horizontal="center" vertical="center"/>
    </xf>
    <xf borderId="5" fillId="0" fontId="0" numFmtId="171" xfId="0" applyAlignment="1" applyBorder="1" applyFont="1" applyNumberFormat="1">
      <alignment horizontal="center" vertical="center"/>
    </xf>
    <xf borderId="5" fillId="0" fontId="5" numFmtId="172" xfId="0" applyAlignment="1" applyBorder="1" applyFont="1" applyNumberFormat="1">
      <alignment horizontal="center" vertical="center"/>
    </xf>
    <xf borderId="0" fillId="0" fontId="5" numFmtId="169" xfId="0" applyAlignment="1" applyFont="1" applyNumberFormat="1">
      <alignment horizontal="center" vertical="center"/>
    </xf>
    <xf borderId="0" fillId="0" fontId="0" numFmtId="171" xfId="0" applyAlignment="1" applyFont="1" applyNumberFormat="1">
      <alignment horizontal="center" vertical="center"/>
    </xf>
    <xf borderId="0" fillId="0" fontId="12" numFmtId="2" xfId="0" applyAlignment="1" applyFont="1" applyNumberFormat="1">
      <alignment horizontal="center" shrinkToFit="0" vertical="center" wrapText="1"/>
    </xf>
    <xf borderId="0" fillId="0" fontId="13" numFmtId="2" xfId="0" applyAlignment="1" applyFont="1" applyNumberFormat="1">
      <alignment horizontal="left" vertical="center"/>
    </xf>
    <xf borderId="0" fillId="0" fontId="12" numFmtId="0" xfId="0" applyFont="1"/>
    <xf borderId="0" fillId="0" fontId="14" numFmtId="2" xfId="0" applyAlignment="1" applyFont="1" applyNumberFormat="1">
      <alignment horizontal="left" vertical="center"/>
    </xf>
    <xf borderId="0" fillId="0" fontId="15" numFmtId="2" xfId="0" applyAlignment="1" applyFont="1" applyNumberFormat="1">
      <alignment horizontal="center" shrinkToFit="0" vertical="center" wrapText="1"/>
    </xf>
    <xf borderId="0" fillId="0" fontId="15" numFmtId="2" xfId="0" applyAlignment="1" applyFont="1" applyNumberFormat="1">
      <alignment horizontal="right" shrinkToFit="0" vertical="center" wrapText="1"/>
    </xf>
    <xf borderId="5" fillId="0" fontId="16" numFmtId="1" xfId="0" applyAlignment="1" applyBorder="1" applyFont="1" applyNumberFormat="1">
      <alignment horizontal="center" shrinkToFit="0" vertical="center" wrapText="1"/>
    </xf>
    <xf borderId="5" fillId="0" fontId="16" numFmtId="2" xfId="0" applyAlignment="1" applyBorder="1" applyFont="1" applyNumberFormat="1">
      <alignment horizontal="center" shrinkToFit="0" vertical="center" wrapText="1"/>
    </xf>
    <xf borderId="5" fillId="0" fontId="12" numFmtId="2" xfId="0" applyAlignment="1" applyBorder="1" applyFont="1" applyNumberFormat="1">
      <alignment horizontal="center" shrinkToFit="0" vertical="center" wrapText="1"/>
    </xf>
    <xf borderId="5" fillId="0" fontId="12" numFmtId="1" xfId="0" applyAlignment="1" applyBorder="1" applyFont="1" applyNumberFormat="1">
      <alignment horizontal="center" vertical="center"/>
    </xf>
    <xf borderId="5" fillId="0" fontId="12" numFmtId="2" xfId="0" applyAlignment="1" applyBorder="1" applyFont="1" applyNumberFormat="1">
      <alignment horizontal="center" vertical="center"/>
    </xf>
    <xf borderId="0" fillId="0" fontId="16" numFmtId="2" xfId="0" applyAlignment="1" applyFont="1" applyNumberFormat="1">
      <alignment horizontal="center" shrinkToFit="0" vertical="center" wrapText="1"/>
    </xf>
    <xf borderId="5" fillId="0" fontId="16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right"/>
    </xf>
    <xf borderId="0" fillId="0" fontId="15" numFmtId="2" xfId="0" applyAlignment="1" applyFont="1" applyNumberFormat="1">
      <alignment horizontal="right" readingOrder="0" shrinkToFit="0" vertical="center" wrapText="1"/>
    </xf>
    <xf borderId="5" fillId="0" fontId="16" numFmtId="1" xfId="0" applyAlignment="1" applyBorder="1" applyFont="1" applyNumberFormat="1">
      <alignment horizontal="center" readingOrder="0" shrinkToFit="0" vertical="center" wrapText="1"/>
    </xf>
    <xf borderId="5" fillId="0" fontId="16" numFmtId="0" xfId="0" applyAlignment="1" applyBorder="1" applyFont="1">
      <alignment horizontal="center" readingOrder="0" shrinkToFit="0" vertical="center" wrapText="1"/>
    </xf>
    <xf borderId="0" fillId="0" fontId="17" numFmtId="0" xfId="0" applyAlignment="1" applyFont="1">
      <alignment horizontal="right" readingOrder="0"/>
    </xf>
    <xf borderId="0" fillId="0" fontId="12" numFmtId="20" xfId="0" applyFont="1" applyNumberFormat="1"/>
    <xf borderId="0" fillId="0" fontId="17" numFmtId="0" xfId="0" applyAlignment="1" applyFont="1">
      <alignment horizontal="left"/>
    </xf>
    <xf quotePrefix="1" borderId="0" fillId="0" fontId="12" numFmtId="0" xfId="0" applyAlignment="1" applyFont="1">
      <alignment horizontal="right"/>
    </xf>
    <xf borderId="0" fillId="0" fontId="12" numFmtId="0" xfId="0" applyAlignment="1" applyFont="1">
      <alignment horizontal="center"/>
    </xf>
    <xf quotePrefix="1" borderId="0" fillId="0" fontId="12" numFmtId="20" xfId="0" applyAlignment="1" applyFont="1" applyNumberFormat="1">
      <alignment horizontal="right"/>
    </xf>
    <xf borderId="0" fillId="0" fontId="17" numFmtId="0" xfId="0" applyAlignment="1" applyFon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7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-9525</xdr:colOff>
      <xdr:row>11</xdr:row>
      <xdr:rowOff>104775</xdr:rowOff>
    </xdr:from>
    <xdr:ext cx="7534275" cy="4572000"/>
    <xdr:sp>
      <xdr:nvSpPr>
        <xdr:cNvPr id="3" name="Shape 3"/>
        <xdr:cNvSpPr txBox="1"/>
      </xdr:nvSpPr>
      <xdr:spPr>
        <a:xfrm>
          <a:off x="1590293" y="1502572"/>
          <a:ext cx="7511415" cy="4554857"/>
        </a:xfrm>
        <a:prstGeom prst="rect">
          <a:avLst/>
        </a:prstGeom>
        <a:solidFill>
          <a:schemeClr val="lt1"/>
        </a:solidFill>
        <a:ln cap="flat" cmpd="sng" w="25400">
          <a:solidFill>
            <a:schemeClr val="accent3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Individual Motor Specs are measured by VEX Robotics on our in-house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dynomometer.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Motor specs which combine CIM + Mini CIM are theoretical, actual combined numbers may vary.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If there is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an option for "# of motors for gearbox" this is a multiplier of whatever you select in the input section.  For instance, if you choose "1 CIM + 1 Mini CIM" and then set it to "3 motors per gearbox" that would be the equivalent of 3 CIMs and 3 Mini CIMs per gearbox.  You probably want to leave this number as "1" if you're using a combined motor spec.</a:t>
          </a:r>
          <a:endParaRPr sz="11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"Real Life" drivetrain speed is based on 81% of the free-speed.  This number was experimentally measured from previous robots  It is usually a "close enough" approximation.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The drivetrain calculator assumes two identical gearboxes per robot, each driving one side of a skid-steer style drivetrain.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Pushing Current Draw is based on the robot's drivetrain pushing against a stationary object, with the wheels spinning on the ground.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Pushing Current Draw is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listed either per motor or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listed per gearbox.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If listed per gearbox: a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gearbox with multiple motors will have this current evenly divided among the motors.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If motors of different types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are used, this balance will not be even.  For example, designers will need to remember that Mini CIM motors will "take less load" than CIM motors.</a:t>
          </a:r>
          <a:endParaRPr sz="11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100" u="none" strike="noStrike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Use the "External Reduction" to add additional Sprocket &amp; Chain, Pulley &amp; Belt, or Spur Gear Reductions -- many drivetrains utilize additional reductions between the gearbox and the wheel.</a:t>
          </a:r>
          <a:r>
            <a:rPr b="0" i="0" lang="en-US" sz="11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Use 1:1 for no 3rd stage gearing.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Robot weight is</a:t>
          </a:r>
          <a:r>
            <a:rPr b="0" i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set to 154 lbs as default, 120lb Robot + 14lb Battery + 20lb Bumpers</a:t>
          </a: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9</xdr:col>
      <xdr:colOff>381000</xdr:colOff>
      <xdr:row>0</xdr:row>
      <xdr:rowOff>152400</xdr:rowOff>
    </xdr:from>
    <xdr:ext cx="1809750" cy="15906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219075</xdr:colOff>
      <xdr:row>3</xdr:row>
      <xdr:rowOff>161925</xdr:rowOff>
    </xdr:from>
    <xdr:ext cx="6429375" cy="3248025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38100</xdr:colOff>
      <xdr:row>3</xdr:row>
      <xdr:rowOff>0</xdr:rowOff>
    </xdr:from>
    <xdr:ext cx="6981825" cy="33051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171450</xdr:colOff>
      <xdr:row>3</xdr:row>
      <xdr:rowOff>295275</xdr:rowOff>
    </xdr:from>
    <xdr:ext cx="5905500" cy="29813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171450</xdr:colOff>
      <xdr:row>19</xdr:row>
      <xdr:rowOff>571500</xdr:rowOff>
    </xdr:from>
    <xdr:ext cx="6372225" cy="36957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295275</xdr:colOff>
      <xdr:row>2</xdr:row>
      <xdr:rowOff>114300</xdr:rowOff>
    </xdr:from>
    <xdr:ext cx="6934200" cy="3676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809625</xdr:colOff>
      <xdr:row>3</xdr:row>
      <xdr:rowOff>219075</xdr:rowOff>
    </xdr:from>
    <xdr:ext cx="5800725" cy="28289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chiefdelphi.com/media/papers/3188?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www.vexrobotics.com/vexpro/motion/gearboxes/3cimballshifter.html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www.vexrobotics.com/vexpro/motion/gearboxes/ball-shifter.html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www.vexrobotics.com/vexpro/motion/gearboxes/wcp-ds.html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://www.vexrobotics.com/vexpro/motion/gearboxes/single-speed-double-reduction.html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://www.vexrobotics.com/vexpro/motion/gearboxes/wcp-ss.html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11"/>
    <col customWidth="1" min="2" max="2" width="10.33"/>
    <col customWidth="1" min="3" max="26" width="9.0"/>
  </cols>
  <sheetData>
    <row r="1">
      <c r="A1" s="2"/>
      <c r="B1" s="54" t="s">
        <v>48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55" t="s">
        <v>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2" t="s">
        <v>50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2"/>
      <c r="B5" s="56" t="s">
        <v>51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2"/>
      <c r="B6" s="2" t="s">
        <v>53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2" t="s">
        <v>54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2"/>
      <c r="B9" s="59" t="s">
        <v>56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2"/>
      <c r="B10" s="60"/>
      <c r="C10" s="2" t="s">
        <v>57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2"/>
      <c r="B11" s="62"/>
      <c r="C11" s="2" t="s">
        <v>58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59" t="s">
        <v>64</v>
      </c>
      <c r="C39" s="2"/>
      <c r="D39" s="12" t="s">
        <v>65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66">
        <v>42365.0</v>
      </c>
      <c r="C40" s="2" t="s">
        <v>66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 t="s">
        <v>67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 t="s">
        <v>68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 t="s">
        <v>69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 t="s">
        <v>70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 t="s">
        <v>71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 t="s">
        <v>72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66">
        <v>42395.0</v>
      </c>
      <c r="C48" s="2" t="s">
        <v>73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 t="s">
        <v>74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 t="s">
        <v>75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 t="s">
        <v>76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 t="s">
        <v>77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66">
        <v>42780.0</v>
      </c>
      <c r="C54" s="2" t="s">
        <v>78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 t="s">
        <v>79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hyperlinks>
    <hyperlink r:id="rId1" ref="D39"/>
  </hyperlinks>
  <printOptions/>
  <pageMargins bottom="0.75" footer="0.0" header="0.0" left="0.7" right="0.7" top="0.75"/>
  <pageSetup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64A2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33"/>
    <col customWidth="1" min="3" max="3" width="11.67"/>
    <col customWidth="1" min="4" max="4" width="11.11"/>
    <col customWidth="1" min="5" max="5" width="10.78"/>
    <col customWidth="1" min="6" max="6" width="14.11"/>
    <col customWidth="1" min="7" max="7" width="11.44"/>
    <col customWidth="1" min="8" max="8" width="2.78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122</v>
      </c>
      <c r="C2" s="1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7"/>
      <c r="I3" s="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34.5" customHeight="1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123</v>
      </c>
      <c r="D5" s="18">
        <f>VLOOKUP(C5,Specs,2,FALSE)</f>
        <v>13180</v>
      </c>
      <c r="E5" s="19">
        <f>VLOOKUP(C5,Specs,3,FALSE)</f>
        <v>0.43</v>
      </c>
      <c r="F5" s="19">
        <f>VLOOKUP(C5,Specs,4,FALSE)</f>
        <v>53</v>
      </c>
      <c r="G5" s="19">
        <f>VLOOKUP(C5,Specs,5,FALSE)</f>
        <v>1.8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0" t="s">
        <v>13</v>
      </c>
      <c r="D7" s="10" t="s">
        <v>124</v>
      </c>
      <c r="E7" s="2"/>
      <c r="F7" s="10" t="s">
        <v>125</v>
      </c>
      <c r="G7" s="10" t="s">
        <v>126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1.0</v>
      </c>
      <c r="D8" s="22">
        <v>0.65</v>
      </c>
      <c r="E8" s="2"/>
      <c r="F8" s="25">
        <v>10.0</v>
      </c>
      <c r="G8" s="25">
        <v>40.0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/>
      <c r="D10" s="32"/>
      <c r="E10" s="5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38" t="s">
        <v>20</v>
      </c>
      <c r="D11" s="38" t="s">
        <v>21</v>
      </c>
      <c r="E11" s="8"/>
      <c r="F11" s="40" t="s">
        <v>127</v>
      </c>
      <c r="G11" s="40" t="s">
        <v>128</v>
      </c>
      <c r="H11" s="11"/>
      <c r="I11" s="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1.0</v>
      </c>
      <c r="D12" s="25">
        <v>10.0</v>
      </c>
      <c r="E12" s="42" t="s">
        <v>129</v>
      </c>
      <c r="F12" s="72">
        <f>D$5*(C12*C13*C14*C15/D12/D13/D14/D15)*(360/60)</f>
        <v>169.4571429</v>
      </c>
      <c r="G12" s="73">
        <f t="shared" ref="G12:G13" si="1">90/F12</f>
        <v>0.531107739</v>
      </c>
      <c r="H12" s="20"/>
      <c r="I12" s="1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25">
        <v>1.0</v>
      </c>
      <c r="D13" s="25">
        <v>10.0</v>
      </c>
      <c r="E13" s="42" t="s">
        <v>130</v>
      </c>
      <c r="F13" s="72">
        <f>((-1)*(F12/(G17))*(F$8))+(F12)</f>
        <v>110.7393725</v>
      </c>
      <c r="G13" s="73">
        <f t="shared" si="1"/>
        <v>0.8127190716</v>
      </c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25">
        <v>18.0</v>
      </c>
      <c r="D14" s="25">
        <v>84.0</v>
      </c>
      <c r="E14" s="1"/>
      <c r="F14" s="2"/>
      <c r="G14" s="1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25">
        <v>1.0</v>
      </c>
      <c r="D15" s="25">
        <v>1.0</v>
      </c>
      <c r="E15" s="1"/>
      <c r="F15" s="2"/>
      <c r="G15" s="2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1"/>
      <c r="C16" s="74">
        <f>D12*D13*D14*D15/C12/C13/C14/C15</f>
        <v>466.6666667</v>
      </c>
      <c r="D16" s="75" t="s">
        <v>131</v>
      </c>
      <c r="E16" s="1"/>
      <c r="F16" s="40" t="s">
        <v>132</v>
      </c>
      <c r="G16" s="40" t="s">
        <v>133</v>
      </c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1"/>
      <c r="C17" s="68"/>
      <c r="D17" s="1"/>
      <c r="E17" s="1"/>
      <c r="F17" s="76">
        <f>((((F$5*C$8)-(G$5*C$8))/(E$5*C$8))*(F$8*G$8*(C12*C13*C14*C15/D12/D13/D14/D15)/(0.2248*39.37))+(G$5*C$8))/C$8</f>
        <v>13.33169093</v>
      </c>
      <c r="G17" s="77">
        <f>E5*C8*(1/(C12*C13*C14*C15/D12/D13/D14/D15))*39.37*0.2248*D8/G8</f>
        <v>28.85960107</v>
      </c>
      <c r="H17" s="23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7"/>
      <c r="E18" s="27"/>
      <c r="F18" s="27"/>
      <c r="G18" s="27"/>
      <c r="H18" s="31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1"/>
      <c r="C19" s="1"/>
      <c r="D19" s="1"/>
      <c r="E19" s="1"/>
      <c r="F19" s="1"/>
      <c r="G19" s="1"/>
      <c r="H19" s="1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BACC6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33"/>
    <col customWidth="1" min="3" max="3" width="11.67"/>
    <col customWidth="1" min="4" max="4" width="11.11"/>
    <col customWidth="1" min="5" max="5" width="11.44"/>
    <col customWidth="1" min="6" max="6" width="15.11"/>
    <col customWidth="1" min="7" max="7" width="11.78"/>
    <col customWidth="1" min="8" max="8" width="2.78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135</v>
      </c>
      <c r="C2" s="1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7"/>
      <c r="I3" s="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123</v>
      </c>
      <c r="D5" s="18">
        <f>VLOOKUP(C5,Specs,2,FALSE)</f>
        <v>13180</v>
      </c>
      <c r="E5" s="19">
        <f>VLOOKUP(C5,Specs,3,FALSE)</f>
        <v>0.43</v>
      </c>
      <c r="F5" s="19">
        <f>VLOOKUP(C5,Specs,4,FALSE)</f>
        <v>53</v>
      </c>
      <c r="G5" s="19">
        <f>VLOOKUP(C5,Specs,5,FALSE)</f>
        <v>1.8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36.0" customHeight="1">
      <c r="A7" s="1"/>
      <c r="B7" s="21"/>
      <c r="C7" s="10" t="s">
        <v>13</v>
      </c>
      <c r="D7" s="10" t="s">
        <v>124</v>
      </c>
      <c r="E7" s="10" t="s">
        <v>136</v>
      </c>
      <c r="F7" s="10" t="s">
        <v>142</v>
      </c>
      <c r="G7" s="10" t="s">
        <v>143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1.0</v>
      </c>
      <c r="D8" s="22">
        <v>0.8</v>
      </c>
      <c r="E8" s="25">
        <v>48.0</v>
      </c>
      <c r="F8" s="25">
        <v>154.0</v>
      </c>
      <c r="G8" s="25">
        <v>2.0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/>
      <c r="D10" s="32"/>
      <c r="E10" s="5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38" t="s">
        <v>20</v>
      </c>
      <c r="D11" s="38" t="s">
        <v>21</v>
      </c>
      <c r="E11" s="8"/>
      <c r="F11" s="40" t="s">
        <v>144</v>
      </c>
      <c r="G11" s="40" t="s">
        <v>145</v>
      </c>
      <c r="H11" s="11"/>
      <c r="I11" s="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1.0</v>
      </c>
      <c r="D12" s="25">
        <v>10.0</v>
      </c>
      <c r="E12" s="42" t="s">
        <v>129</v>
      </c>
      <c r="F12" s="78">
        <f>(D$5*(C12*C13*C14*C15/D12/D13/D14/D15)*(360/60))*PI()*2*(G$8/2)/360</f>
        <v>13.80206372</v>
      </c>
      <c r="G12" s="73">
        <f t="shared" ref="G12:G13" si="1">1/(F12/E$8)</f>
        <v>3.47774079</v>
      </c>
      <c r="H12" s="20"/>
      <c r="I12" s="1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25">
        <v>1.0</v>
      </c>
      <c r="D13" s="25">
        <v>10.0</v>
      </c>
      <c r="E13" s="42" t="s">
        <v>130</v>
      </c>
      <c r="F13" s="78">
        <f>(((-1)*((D5*(C12*C13*C14*C15/D12/D13/D14/D15)*(360/60))/(G17))*(F8))+(D5*(C12*C13*C14*C15/D12/D13/D14/D15)*(360/60)))*(3.14*2*(G8/2)/360)</f>
        <v>6.81717279</v>
      </c>
      <c r="G13" s="73">
        <f t="shared" si="1"/>
        <v>7.041042009</v>
      </c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25">
        <v>1.0</v>
      </c>
      <c r="D14" s="25">
        <v>1.0</v>
      </c>
      <c r="E14" s="1"/>
      <c r="F14" s="2"/>
      <c r="G14" s="1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25">
        <v>1.0</v>
      </c>
      <c r="D15" s="25">
        <v>1.0</v>
      </c>
      <c r="E15" s="1"/>
      <c r="F15" s="2"/>
      <c r="G15" s="2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1"/>
      <c r="C16" s="74">
        <f>D12*D13*D14*D15/C12/C13/C14/C15</f>
        <v>100</v>
      </c>
      <c r="D16" s="75" t="s">
        <v>131</v>
      </c>
      <c r="E16" s="1"/>
      <c r="F16" s="40" t="s">
        <v>146</v>
      </c>
      <c r="G16" s="40" t="s">
        <v>133</v>
      </c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1"/>
      <c r="C17" s="68"/>
      <c r="D17" s="1"/>
      <c r="E17" s="1"/>
      <c r="F17" s="76">
        <f>((((F$5*C$8)-(G$5*C$8))/(E$5*C$8))*(F$8*G$8/2*(C12*C13*C14*C15/D12/D13/D14/D15)/(0.2248*39.37))+(G$5*C$8))/C$8</f>
        <v>22.51860471</v>
      </c>
      <c r="G17" s="77">
        <f>E$5*C$8*(1/(C12*C13*C14*C15/D12/D13/D14/D15))*39.37*0.2248*D$8/(G$8/2)</f>
        <v>304.4529344</v>
      </c>
      <c r="H17" s="23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7"/>
      <c r="E18" s="27"/>
      <c r="F18" s="27"/>
      <c r="G18" s="27"/>
      <c r="H18" s="31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1"/>
      <c r="C19" s="1"/>
      <c r="D19" s="1"/>
      <c r="E19" s="1"/>
      <c r="F19" s="1"/>
      <c r="G19" s="1"/>
      <c r="H19" s="1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79646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33"/>
    <col customWidth="1" min="3" max="3" width="11.67"/>
    <col customWidth="1" min="4" max="4" width="11.11"/>
    <col customWidth="1" min="5" max="5" width="10.78"/>
    <col customWidth="1" min="6" max="6" width="14.11"/>
    <col customWidth="1" min="7" max="8" width="11.44"/>
    <col customWidth="1" min="9" max="9" width="2.78"/>
    <col customWidth="1" min="10" max="10" width="2.33"/>
    <col customWidth="1" min="11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134</v>
      </c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5"/>
      <c r="I3" s="7"/>
      <c r="J3" s="1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34.5" customHeight="1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8"/>
      <c r="I4" s="11"/>
      <c r="J4" s="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123</v>
      </c>
      <c r="D5" s="18">
        <f>VLOOKUP(C5,Specs,2,FALSE)</f>
        <v>13180</v>
      </c>
      <c r="E5" s="19">
        <f>VLOOKUP(C5,Specs,3,FALSE)</f>
        <v>0.43</v>
      </c>
      <c r="F5" s="19">
        <f>VLOOKUP(C5,Specs,4,FALSE)</f>
        <v>53</v>
      </c>
      <c r="G5" s="19">
        <f>VLOOKUP(C5,Specs,5,FALSE)</f>
        <v>1.8</v>
      </c>
      <c r="H5" s="13"/>
      <c r="I5" s="20"/>
      <c r="J5" s="1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1"/>
      <c r="I6" s="23"/>
      <c r="J6" s="1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0" t="s">
        <v>13</v>
      </c>
      <c r="D7" s="10" t="s">
        <v>124</v>
      </c>
      <c r="E7" s="10" t="s">
        <v>136</v>
      </c>
      <c r="F7" s="10" t="s">
        <v>137</v>
      </c>
      <c r="G7" s="10" t="s">
        <v>138</v>
      </c>
      <c r="H7" s="10" t="s">
        <v>139</v>
      </c>
      <c r="I7" s="23"/>
      <c r="J7" s="1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1.0</v>
      </c>
      <c r="D8" s="22">
        <v>0.8</v>
      </c>
      <c r="E8" s="25">
        <v>40.0</v>
      </c>
      <c r="F8" s="25">
        <v>1.0</v>
      </c>
      <c r="G8" s="25">
        <v>2.0</v>
      </c>
      <c r="H8" s="25">
        <v>10.0</v>
      </c>
      <c r="I8" s="23"/>
      <c r="J8" s="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27"/>
      <c r="I9" s="31"/>
      <c r="J9" s="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/>
      <c r="D10" s="32"/>
      <c r="E10" s="5"/>
      <c r="F10" s="5"/>
      <c r="G10" s="5"/>
      <c r="H10" s="5"/>
      <c r="I10" s="7"/>
      <c r="J10" s="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38" t="s">
        <v>20</v>
      </c>
      <c r="D11" s="38" t="s">
        <v>21</v>
      </c>
      <c r="E11" s="8"/>
      <c r="F11" s="40" t="s">
        <v>140</v>
      </c>
      <c r="G11" s="40" t="s">
        <v>141</v>
      </c>
      <c r="H11" s="8"/>
      <c r="I11" s="11"/>
      <c r="J11" s="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1.0</v>
      </c>
      <c r="D12" s="25">
        <v>10.0</v>
      </c>
      <c r="E12" s="42" t="s">
        <v>129</v>
      </c>
      <c r="F12" s="78">
        <f>(D$5*(C12*C13*C14*C15/D12/D13/D14/D15)*(360/60))*PI()*2*(G$8/2)/360*F$8</f>
        <v>138.0206372</v>
      </c>
      <c r="G12" s="73">
        <f t="shared" ref="G12:G13" si="1">1/(F12/E$8)</f>
        <v>0.2898117325</v>
      </c>
      <c r="H12" s="79"/>
      <c r="I12" s="2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25">
        <v>1.0</v>
      </c>
      <c r="D13" s="25">
        <v>1.0</v>
      </c>
      <c r="E13" s="42" t="s">
        <v>130</v>
      </c>
      <c r="F13" s="78">
        <f>(((-1)*((D$5*(C12*C13*C14*C15/D12/D13/D14/D15)*(360/60))/(G17))*(H$8))+(D$5*(C12*C13*C14*C15/D12/D13/D14/D15)*(360/60)))*(3.14*2*(G$8/2)/360)*F$8</f>
        <v>92.63966747</v>
      </c>
      <c r="G13" s="73">
        <f t="shared" si="1"/>
        <v>0.4317804791</v>
      </c>
      <c r="H13" s="79"/>
      <c r="I13" s="23"/>
      <c r="J13" s="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25">
        <v>1.0</v>
      </c>
      <c r="D14" s="25">
        <v>1.0</v>
      </c>
      <c r="E14" s="1"/>
      <c r="F14" s="2"/>
      <c r="G14" s="1"/>
      <c r="H14" s="1"/>
      <c r="I14" s="23"/>
      <c r="J14" s="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25">
        <v>1.0</v>
      </c>
      <c r="D15" s="25">
        <v>1.0</v>
      </c>
      <c r="E15" s="1"/>
      <c r="F15" s="2"/>
      <c r="G15" s="2"/>
      <c r="H15" s="2"/>
      <c r="I15" s="23"/>
      <c r="J15" s="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1"/>
      <c r="C16" s="74">
        <f>D12*D13*D14*D15/C12/C13/C14/C15</f>
        <v>10</v>
      </c>
      <c r="D16" s="75" t="s">
        <v>131</v>
      </c>
      <c r="E16" s="1"/>
      <c r="F16" s="40" t="s">
        <v>146</v>
      </c>
      <c r="G16" s="40" t="s">
        <v>147</v>
      </c>
      <c r="H16" s="8"/>
      <c r="I16" s="23"/>
      <c r="J16" s="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1"/>
      <c r="C17" s="68"/>
      <c r="D17" s="1"/>
      <c r="E17" s="1"/>
      <c r="F17" s="76">
        <f>(((((F$5*C$8)-(G$5*C$8))/(E$5*C$8))*(H$8/2*(C12*C13*C14*C15/D12/D13/D14/D15)*G$8/(0.2248*39.37)))+(G$5*C$8))/C$8</f>
        <v>15.25363942</v>
      </c>
      <c r="G17" s="77">
        <f>E$5*C$8*(1/(C12*C13*C14*C15/D12/D13/D14/D15))*39.37*0.2248*D$8/(G$8/2)</f>
        <v>30.44529344</v>
      </c>
      <c r="H17" s="80"/>
      <c r="I17" s="23"/>
      <c r="J17" s="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7"/>
      <c r="E18" s="27"/>
      <c r="F18" s="27"/>
      <c r="G18" s="27"/>
      <c r="H18" s="27"/>
      <c r="I18" s="31"/>
      <c r="J18" s="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pageSetUpPr/>
  </sheetPr>
  <sheetViews>
    <sheetView workbookViewId="0"/>
  </sheetViews>
  <sheetFormatPr customHeight="1" defaultColWidth="11.22" defaultRowHeight="15.0"/>
  <cols>
    <col customWidth="1" min="1" max="1" width="3.44"/>
    <col customWidth="1" min="2" max="2" width="36.67"/>
    <col customWidth="1" min="3" max="9" width="11.0"/>
    <col customWidth="1" min="10" max="10" width="23.11"/>
    <col customWidth="1" min="11" max="26" width="11.0"/>
  </cols>
  <sheetData>
    <row r="1" ht="25.5" customHeight="1">
      <c r="A1" s="81"/>
      <c r="B1" s="82" t="s">
        <v>148</v>
      </c>
      <c r="C1" s="81"/>
      <c r="D1" s="81"/>
      <c r="E1" s="81"/>
      <c r="F1" s="81"/>
      <c r="G1" s="81"/>
      <c r="H1" s="81"/>
      <c r="I1" s="81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ht="12.0" customHeight="1">
      <c r="A2" s="81"/>
      <c r="B2" s="84" t="s">
        <v>149</v>
      </c>
      <c r="C2" s="81"/>
      <c r="D2" s="81"/>
      <c r="E2" s="81"/>
      <c r="F2" s="81"/>
      <c r="G2" s="81"/>
      <c r="H2" s="81"/>
      <c r="I2" s="81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ht="12.0" customHeight="1">
      <c r="A3" s="81"/>
      <c r="B3" s="84" t="s">
        <v>150</v>
      </c>
      <c r="C3" s="81"/>
      <c r="D3" s="81"/>
      <c r="E3" s="81"/>
      <c r="F3" s="81"/>
      <c r="G3" s="81"/>
      <c r="H3" s="81"/>
      <c r="I3" s="81"/>
      <c r="J3" s="82" t="s">
        <v>151</v>
      </c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ht="34.5" customHeight="1">
      <c r="A4" s="85"/>
      <c r="B4" s="86"/>
      <c r="C4" s="85" t="s">
        <v>3</v>
      </c>
      <c r="D4" s="85" t="s">
        <v>152</v>
      </c>
      <c r="E4" s="85" t="s">
        <v>5</v>
      </c>
      <c r="F4" s="85" t="s">
        <v>6</v>
      </c>
      <c r="G4" s="85" t="s">
        <v>153</v>
      </c>
      <c r="H4" s="85"/>
      <c r="I4" s="85"/>
      <c r="J4" s="86"/>
      <c r="K4" s="85" t="s">
        <v>3</v>
      </c>
      <c r="L4" s="85" t="s">
        <v>4</v>
      </c>
      <c r="M4" s="85" t="s">
        <v>5</v>
      </c>
      <c r="N4" s="85" t="s">
        <v>6</v>
      </c>
      <c r="O4" s="85" t="s">
        <v>153</v>
      </c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ht="12.0" customHeight="1">
      <c r="A5" s="81"/>
      <c r="B5" s="86" t="s">
        <v>10</v>
      </c>
      <c r="C5" s="87">
        <v>5330.0</v>
      </c>
      <c r="D5" s="88">
        <v>2.41</v>
      </c>
      <c r="E5" s="88">
        <v>131.0</v>
      </c>
      <c r="F5" s="88">
        <v>2.7</v>
      </c>
      <c r="G5" s="89">
        <f t="shared" ref="G5:G20" si="1">C5/2*(1/60*2*PI())*D5/2</f>
        <v>336.2891676</v>
      </c>
      <c r="H5" s="81"/>
      <c r="I5" s="81"/>
      <c r="J5" s="86" t="s">
        <v>154</v>
      </c>
      <c r="K5" s="87">
        <v>5840.0</v>
      </c>
      <c r="L5" s="88">
        <v>1.41</v>
      </c>
      <c r="M5" s="88">
        <v>89.0</v>
      </c>
      <c r="N5" s="88">
        <v>3.0</v>
      </c>
      <c r="O5" s="89">
        <f t="shared" ref="O5:O13" si="2">K5/2*(1/60*2*PI())*L5/2</f>
        <v>215.5760879</v>
      </c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ht="12.0" customHeight="1">
      <c r="A6" s="81"/>
      <c r="B6" s="86" t="s">
        <v>155</v>
      </c>
      <c r="C6" s="90">
        <v>5840.0</v>
      </c>
      <c r="D6" s="91">
        <v>1.41</v>
      </c>
      <c r="E6" s="91">
        <v>89.0</v>
      </c>
      <c r="F6" s="91">
        <v>3.0</v>
      </c>
      <c r="G6" s="89">
        <f t="shared" si="1"/>
        <v>215.5760879</v>
      </c>
      <c r="H6" s="81"/>
      <c r="I6" s="81"/>
      <c r="J6" s="86" t="s">
        <v>156</v>
      </c>
      <c r="K6" s="87">
        <v>5330.0</v>
      </c>
      <c r="L6" s="88">
        <v>2.41</v>
      </c>
      <c r="M6" s="88">
        <v>131.0</v>
      </c>
      <c r="N6" s="88">
        <v>2.7</v>
      </c>
      <c r="O6" s="89">
        <f t="shared" si="2"/>
        <v>336.2891676</v>
      </c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ht="12.0" customHeight="1">
      <c r="A7" s="81"/>
      <c r="B7" s="86" t="s">
        <v>123</v>
      </c>
      <c r="C7" s="90">
        <v>13180.0</v>
      </c>
      <c r="D7" s="91">
        <v>0.43</v>
      </c>
      <c r="E7" s="91">
        <v>53.0</v>
      </c>
      <c r="F7" s="91">
        <v>1.8</v>
      </c>
      <c r="G7" s="89">
        <f t="shared" si="1"/>
        <v>148.372185</v>
      </c>
      <c r="H7" s="81"/>
      <c r="I7" s="81"/>
      <c r="J7" s="86" t="s">
        <v>157</v>
      </c>
      <c r="K7" s="87">
        <v>5840.0</v>
      </c>
      <c r="L7" s="88">
        <v>2.82</v>
      </c>
      <c r="M7" s="88">
        <v>178.0</v>
      </c>
      <c r="N7" s="88">
        <v>6.0</v>
      </c>
      <c r="O7" s="89">
        <f t="shared" si="2"/>
        <v>431.1521758</v>
      </c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ht="12.0" customHeight="1">
      <c r="A8" s="81"/>
      <c r="B8" s="86" t="s">
        <v>158</v>
      </c>
      <c r="C8" s="87">
        <v>18730.0</v>
      </c>
      <c r="D8" s="88">
        <v>0.71</v>
      </c>
      <c r="E8" s="88">
        <v>134.0</v>
      </c>
      <c r="F8" s="88">
        <v>0.7</v>
      </c>
      <c r="G8" s="89">
        <f t="shared" si="1"/>
        <v>348.1486799</v>
      </c>
      <c r="H8" s="92"/>
      <c r="I8" s="81"/>
      <c r="J8" s="86" t="s">
        <v>159</v>
      </c>
      <c r="K8" s="87">
        <v>5508.0</v>
      </c>
      <c r="L8" s="93">
        <v>3.82</v>
      </c>
      <c r="M8" s="93">
        <v>220.0</v>
      </c>
      <c r="N8" s="93">
        <v>8.16</v>
      </c>
      <c r="O8" s="89">
        <f t="shared" si="2"/>
        <v>550.8405727</v>
      </c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ht="12.0" customHeight="1">
      <c r="A9" s="81"/>
      <c r="B9" s="86" t="s">
        <v>160</v>
      </c>
      <c r="C9" s="87">
        <v>5800.0</v>
      </c>
      <c r="D9" s="88">
        <v>0.28</v>
      </c>
      <c r="E9" s="88">
        <v>18.0</v>
      </c>
      <c r="F9" s="88">
        <v>1.6</v>
      </c>
      <c r="G9" s="89">
        <f t="shared" si="1"/>
        <v>42.51622058</v>
      </c>
      <c r="H9" s="81"/>
      <c r="I9" s="81"/>
      <c r="J9" s="86" t="s">
        <v>161</v>
      </c>
      <c r="K9" s="87">
        <v>5840.0</v>
      </c>
      <c r="L9" s="93">
        <v>4.2299999999999995</v>
      </c>
      <c r="M9" s="93">
        <v>267.0</v>
      </c>
      <c r="N9" s="93">
        <v>9.0</v>
      </c>
      <c r="O9" s="89">
        <f t="shared" si="2"/>
        <v>646.7282637</v>
      </c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ht="12.0" customHeight="1">
      <c r="A10" s="81"/>
      <c r="B10" s="86" t="s">
        <v>162</v>
      </c>
      <c r="C10" s="87">
        <v>14270.0</v>
      </c>
      <c r="D10" s="93">
        <v>0.36</v>
      </c>
      <c r="E10" s="93">
        <v>71.0</v>
      </c>
      <c r="F10" s="93">
        <v>3.7</v>
      </c>
      <c r="G10" s="89">
        <f t="shared" si="1"/>
        <v>134.4915815</v>
      </c>
      <c r="H10" s="81"/>
      <c r="I10" s="81"/>
      <c r="J10" s="86" t="s">
        <v>11</v>
      </c>
      <c r="K10" s="87">
        <v>5330.0</v>
      </c>
      <c r="L10" s="88">
        <v>4.82</v>
      </c>
      <c r="M10" s="88">
        <v>262.0</v>
      </c>
      <c r="N10" s="88">
        <v>5.4</v>
      </c>
      <c r="O10" s="89">
        <f t="shared" si="2"/>
        <v>672.5783352</v>
      </c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ht="12.0" customHeight="1">
      <c r="A11" s="81"/>
      <c r="B11" s="86" t="s">
        <v>159</v>
      </c>
      <c r="C11" s="87">
        <v>5508.0</v>
      </c>
      <c r="D11" s="93">
        <v>3.82</v>
      </c>
      <c r="E11" s="93">
        <v>220.0</v>
      </c>
      <c r="F11" s="93">
        <v>8.16</v>
      </c>
      <c r="G11" s="89">
        <f t="shared" si="1"/>
        <v>550.8405727</v>
      </c>
      <c r="H11" s="81"/>
      <c r="I11" s="81"/>
      <c r="J11" s="86" t="s">
        <v>163</v>
      </c>
      <c r="K11" s="87">
        <v>5593.0</v>
      </c>
      <c r="L11" s="93">
        <v>5.23</v>
      </c>
      <c r="M11" s="93">
        <v>309.0</v>
      </c>
      <c r="N11" s="93">
        <v>9.62</v>
      </c>
      <c r="O11" s="89">
        <f t="shared" si="2"/>
        <v>765.7995994</v>
      </c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ht="12.0" customHeight="1">
      <c r="A12" s="81"/>
      <c r="B12" s="86" t="s">
        <v>163</v>
      </c>
      <c r="C12" s="87">
        <v>5593.0</v>
      </c>
      <c r="D12" s="93">
        <v>5.23</v>
      </c>
      <c r="E12" s="93">
        <v>309.0</v>
      </c>
      <c r="F12" s="93">
        <v>9.62</v>
      </c>
      <c r="G12" s="89">
        <f t="shared" si="1"/>
        <v>765.7995994</v>
      </c>
      <c r="H12" s="81"/>
      <c r="I12" s="81"/>
      <c r="J12" s="86" t="s">
        <v>164</v>
      </c>
      <c r="K12" s="87">
        <v>5437.0</v>
      </c>
      <c r="L12" s="93">
        <v>6.23</v>
      </c>
      <c r="M12" s="93">
        <v>351.0</v>
      </c>
      <c r="N12" s="93">
        <v>9.15</v>
      </c>
      <c r="O12" s="89">
        <f t="shared" si="2"/>
        <v>886.7802381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ht="12.0" customHeight="1">
      <c r="A13" s="83"/>
      <c r="B13" s="86" t="s">
        <v>164</v>
      </c>
      <c r="C13" s="87">
        <v>5437.0</v>
      </c>
      <c r="D13" s="93">
        <v>6.23</v>
      </c>
      <c r="E13" s="93">
        <v>351.0</v>
      </c>
      <c r="F13" s="93">
        <v>9.15</v>
      </c>
      <c r="G13" s="89">
        <f t="shared" si="1"/>
        <v>886.7802381</v>
      </c>
      <c r="H13" s="83"/>
      <c r="I13" s="81"/>
      <c r="J13" s="86" t="s">
        <v>84</v>
      </c>
      <c r="K13" s="87">
        <v>5330.0</v>
      </c>
      <c r="L13" s="88">
        <v>7.23</v>
      </c>
      <c r="M13" s="88">
        <v>393.0</v>
      </c>
      <c r="N13" s="88">
        <v>8.100000000000001</v>
      </c>
      <c r="O13" s="89">
        <f t="shared" si="2"/>
        <v>1008.867503</v>
      </c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ht="12.0" customHeight="1">
      <c r="A14" s="83"/>
      <c r="B14" s="86" t="s">
        <v>165</v>
      </c>
      <c r="C14" s="87">
        <v>13050.0</v>
      </c>
      <c r="D14" s="88">
        <v>0.72</v>
      </c>
      <c r="E14" s="88">
        <v>97.0</v>
      </c>
      <c r="F14" s="88">
        <v>2.7</v>
      </c>
      <c r="G14" s="89">
        <f t="shared" si="1"/>
        <v>245.9867048</v>
      </c>
      <c r="H14" s="83"/>
      <c r="I14" s="81"/>
      <c r="J14" s="94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ht="12.0" customHeight="1">
      <c r="A15" s="83"/>
      <c r="B15" s="86" t="s">
        <v>166</v>
      </c>
      <c r="C15" s="87">
        <v>19000.0</v>
      </c>
      <c r="D15" s="88">
        <v>0.38</v>
      </c>
      <c r="E15" s="88">
        <v>84.0</v>
      </c>
      <c r="F15" s="88">
        <v>0.4</v>
      </c>
      <c r="G15" s="89">
        <f t="shared" si="1"/>
        <v>189.019158</v>
      </c>
      <c r="H15" s="83"/>
      <c r="I15" s="83"/>
      <c r="J15" s="86"/>
      <c r="K15" s="85"/>
      <c r="L15" s="85"/>
      <c r="M15" s="85"/>
      <c r="N15" s="85"/>
      <c r="O15" s="85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ht="12.0" customHeight="1">
      <c r="A16" s="83"/>
      <c r="B16" s="95" t="s">
        <v>167</v>
      </c>
      <c r="C16" s="96">
        <v>19649.0</v>
      </c>
      <c r="D16" s="97">
        <v>0.63</v>
      </c>
      <c r="E16" s="97">
        <v>107.0</v>
      </c>
      <c r="F16" s="97">
        <v>3.1</v>
      </c>
      <c r="G16" s="89">
        <f t="shared" si="1"/>
        <v>324.0780588</v>
      </c>
      <c r="H16" s="83"/>
      <c r="I16" s="83"/>
      <c r="J16" s="86" t="s">
        <v>154</v>
      </c>
      <c r="K16" s="87">
        <v>5840.0</v>
      </c>
      <c r="L16" s="88">
        <v>1.41</v>
      </c>
      <c r="M16" s="88">
        <v>89.0</v>
      </c>
      <c r="N16" s="88">
        <v>3.0</v>
      </c>
      <c r="O16" s="89">
        <f t="shared" ref="O16:O20" si="3">K16/2*(1/60*2*PI())*L16/2</f>
        <v>215.5760879</v>
      </c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ht="12.0" customHeight="1">
      <c r="A17" s="83"/>
      <c r="B17" s="98" t="s">
        <v>168</v>
      </c>
      <c r="C17" s="96">
        <v>84.0</v>
      </c>
      <c r="D17" s="97">
        <v>10.6</v>
      </c>
      <c r="E17" s="97">
        <v>18.6</v>
      </c>
      <c r="F17" s="97">
        <v>1.8</v>
      </c>
      <c r="G17" s="89">
        <f t="shared" si="1"/>
        <v>23.31061749</v>
      </c>
      <c r="H17" s="83"/>
      <c r="I17" s="83"/>
      <c r="J17" s="86" t="s">
        <v>156</v>
      </c>
      <c r="K17" s="87">
        <v>5330.0</v>
      </c>
      <c r="L17" s="88">
        <v>2.41</v>
      </c>
      <c r="M17" s="88">
        <v>131.0</v>
      </c>
      <c r="N17" s="88">
        <v>2.7</v>
      </c>
      <c r="O17" s="89">
        <f t="shared" si="3"/>
        <v>336.2891676</v>
      </c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ht="12.0" customHeight="1">
      <c r="A18" s="83"/>
      <c r="B18" s="98" t="s">
        <v>169</v>
      </c>
      <c r="C18" s="96">
        <v>84.0</v>
      </c>
      <c r="D18" s="97">
        <v>10.6</v>
      </c>
      <c r="E18" s="97">
        <v>21.0</v>
      </c>
      <c r="F18" s="97">
        <v>1.8</v>
      </c>
      <c r="G18" s="89">
        <f t="shared" si="1"/>
        <v>23.31061749</v>
      </c>
      <c r="H18" s="83"/>
      <c r="I18" s="83"/>
      <c r="J18" s="86" t="s">
        <v>157</v>
      </c>
      <c r="K18" s="87">
        <v>5840.0</v>
      </c>
      <c r="L18" s="88">
        <v>2.82</v>
      </c>
      <c r="M18" s="88">
        <v>178.0</v>
      </c>
      <c r="N18" s="88">
        <v>6.0</v>
      </c>
      <c r="O18" s="89">
        <f t="shared" si="3"/>
        <v>431.1521758</v>
      </c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ht="12.0" customHeight="1">
      <c r="A19" s="83"/>
      <c r="B19" s="98" t="s">
        <v>170</v>
      </c>
      <c r="C19" s="96">
        <v>100.0</v>
      </c>
      <c r="D19" s="97">
        <v>11.298</v>
      </c>
      <c r="E19" s="97">
        <v>24.0</v>
      </c>
      <c r="F19" s="97">
        <v>5.0</v>
      </c>
      <c r="G19" s="89">
        <f t="shared" si="1"/>
        <v>29.57809483</v>
      </c>
      <c r="H19" s="83"/>
      <c r="I19" s="83"/>
      <c r="J19" s="86" t="s">
        <v>159</v>
      </c>
      <c r="K19" s="87">
        <v>5508.0</v>
      </c>
      <c r="L19" s="93">
        <v>3.82</v>
      </c>
      <c r="M19" s="93">
        <v>220.0</v>
      </c>
      <c r="N19" s="93">
        <v>8.16</v>
      </c>
      <c r="O19" s="89">
        <f t="shared" si="3"/>
        <v>550.8405727</v>
      </c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ht="12.0" customHeight="1">
      <c r="A20" s="83"/>
      <c r="B20" s="95" t="s">
        <v>171</v>
      </c>
      <c r="C20" s="96">
        <v>5676.0</v>
      </c>
      <c r="D20" s="97">
        <v>2.6</v>
      </c>
      <c r="E20" s="97">
        <v>105.0</v>
      </c>
      <c r="F20" s="97">
        <v>1.8</v>
      </c>
      <c r="G20" s="89">
        <f t="shared" si="1"/>
        <v>386.3530645</v>
      </c>
      <c r="H20" s="83"/>
      <c r="I20" s="83"/>
      <c r="J20" s="86" t="s">
        <v>11</v>
      </c>
      <c r="K20" s="87">
        <v>5330.0</v>
      </c>
      <c r="L20" s="88">
        <v>4.82</v>
      </c>
      <c r="M20" s="88">
        <v>262.0</v>
      </c>
      <c r="N20" s="88">
        <v>5.4</v>
      </c>
      <c r="O20" s="89">
        <f t="shared" si="3"/>
        <v>672.5783352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ht="12.0" customHeight="1">
      <c r="A21" s="83"/>
      <c r="B21" s="94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ht="12.0" customHeight="1">
      <c r="A22" s="83"/>
      <c r="B22" s="94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ht="12.0" customHeight="1">
      <c r="A23" s="83"/>
      <c r="B23" s="94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ht="12.0" customHeight="1">
      <c r="A24" s="83"/>
      <c r="B24" s="94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ht="12.0" customHeight="1">
      <c r="A25" s="83"/>
      <c r="B25" s="94"/>
      <c r="C25" s="99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ht="12.0" customHeight="1">
      <c r="A26" s="83"/>
      <c r="B26" s="82" t="s">
        <v>172</v>
      </c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ht="12.0" customHeight="1">
      <c r="A27" s="83"/>
      <c r="B27" s="100" t="s">
        <v>173</v>
      </c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ht="12.0" customHeight="1">
      <c r="A28" s="83"/>
      <c r="B28" s="101" t="s">
        <v>174</v>
      </c>
      <c r="C28" s="102">
        <v>11.0</v>
      </c>
      <c r="D28" s="102">
        <v>42.0</v>
      </c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ht="12.0" customHeight="1">
      <c r="A29" s="83"/>
      <c r="B29" s="101" t="s">
        <v>90</v>
      </c>
      <c r="C29" s="102">
        <v>12.0</v>
      </c>
      <c r="D29" s="102">
        <v>42.0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ht="12.0" customHeight="1">
      <c r="A30" s="83"/>
      <c r="B30" s="103" t="s">
        <v>175</v>
      </c>
      <c r="C30" s="102">
        <v>13.0</v>
      </c>
      <c r="D30" s="102">
        <v>42.0</v>
      </c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ht="12.0" customHeight="1">
      <c r="A31" s="83"/>
      <c r="B31" s="103" t="s">
        <v>176</v>
      </c>
      <c r="C31" s="102">
        <v>13.0</v>
      </c>
      <c r="D31" s="102">
        <v>40.0</v>
      </c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ht="12.0" customHeight="1">
      <c r="A32" s="83"/>
      <c r="B32" s="103" t="s">
        <v>177</v>
      </c>
      <c r="C32" s="102">
        <v>14.0</v>
      </c>
      <c r="D32" s="102">
        <v>42.0</v>
      </c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ht="12.0" customHeight="1">
      <c r="A33" s="83"/>
      <c r="B33" s="103" t="s">
        <v>178</v>
      </c>
      <c r="C33" s="102">
        <v>14.0</v>
      </c>
      <c r="D33" s="102">
        <v>40.0</v>
      </c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ht="12.0" customHeight="1">
      <c r="A34" s="83"/>
      <c r="B34" s="94"/>
      <c r="C34" s="102"/>
      <c r="D34" s="102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ht="12.0" customHeight="1">
      <c r="A35" s="83"/>
      <c r="B35" s="100" t="s">
        <v>179</v>
      </c>
      <c r="C35" s="102"/>
      <c r="D35" s="102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ht="12.0" customHeight="1">
      <c r="A36" s="83"/>
      <c r="B36" s="101" t="s">
        <v>180</v>
      </c>
      <c r="C36" s="102">
        <v>14.0</v>
      </c>
      <c r="D36" s="102">
        <v>60.0</v>
      </c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ht="12.0" customHeight="1">
      <c r="A37" s="83"/>
      <c r="B37" s="101" t="s">
        <v>93</v>
      </c>
      <c r="C37" s="102">
        <v>24.0</v>
      </c>
      <c r="D37" s="102">
        <v>50.0</v>
      </c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ht="12.0" customHeight="1">
      <c r="A38" s="83"/>
      <c r="B38" s="94"/>
      <c r="C38" s="102"/>
      <c r="D38" s="102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ht="12.0" customHeight="1">
      <c r="A39" s="83"/>
      <c r="B39" s="100" t="s">
        <v>181</v>
      </c>
      <c r="C39" s="102"/>
      <c r="D39" s="102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ht="12.0" customHeight="1">
      <c r="A40" s="83"/>
      <c r="B40" s="101" t="s">
        <v>93</v>
      </c>
      <c r="C40" s="102">
        <v>24.0</v>
      </c>
      <c r="D40" s="102">
        <v>50.0</v>
      </c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ht="12.0" customHeight="1">
      <c r="A41" s="83"/>
      <c r="B41" s="101" t="s">
        <v>95</v>
      </c>
      <c r="C41" s="102">
        <v>30.0</v>
      </c>
      <c r="D41" s="102">
        <v>44.0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ht="12.0" customHeight="1">
      <c r="A42" s="83"/>
      <c r="B42" s="101" t="s">
        <v>182</v>
      </c>
      <c r="C42" s="102">
        <v>34.0</v>
      </c>
      <c r="D42" s="102">
        <v>40.0</v>
      </c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ht="12.0" customHeight="1">
      <c r="A43" s="83"/>
      <c r="B43" s="94"/>
      <c r="C43" s="102"/>
      <c r="D43" s="102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ht="12.0" customHeight="1">
      <c r="A44" s="83"/>
      <c r="B44" s="94"/>
      <c r="C44" s="102"/>
      <c r="D44" s="102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ht="12.0" customHeight="1">
      <c r="A45" s="83"/>
      <c r="B45" s="94"/>
      <c r="C45" s="102"/>
      <c r="D45" s="102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ht="12.0" customHeight="1">
      <c r="A46" s="83"/>
      <c r="B46" s="82" t="s">
        <v>183</v>
      </c>
      <c r="C46" s="102"/>
      <c r="D46" s="102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ht="12.0" customHeight="1">
      <c r="A47" s="83"/>
      <c r="B47" s="104" t="s">
        <v>184</v>
      </c>
      <c r="C47" s="102"/>
      <c r="D47" s="102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ht="12.0" customHeight="1">
      <c r="A48" s="83"/>
      <c r="B48" s="103" t="s">
        <v>28</v>
      </c>
      <c r="C48" s="102">
        <v>12.0</v>
      </c>
      <c r="D48" s="102">
        <v>50.0</v>
      </c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ht="12.0" customHeight="1">
      <c r="A49" s="83"/>
      <c r="B49" s="94" t="s">
        <v>185</v>
      </c>
      <c r="C49" s="102">
        <v>11.0</v>
      </c>
      <c r="D49" s="102">
        <v>50.0</v>
      </c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ht="12.0" customHeight="1">
      <c r="A50" s="83"/>
      <c r="B50" s="94"/>
      <c r="C50" s="102"/>
      <c r="D50" s="102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ht="12.0" customHeight="1">
      <c r="A51" s="83"/>
      <c r="B51" s="94" t="s">
        <v>186</v>
      </c>
      <c r="C51" s="102">
        <v>50.0</v>
      </c>
      <c r="D51" s="102">
        <v>34.0</v>
      </c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ht="12.0" customHeight="1">
      <c r="A52" s="83"/>
      <c r="B52" s="94"/>
      <c r="C52" s="102"/>
      <c r="D52" s="102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ht="12.0" customHeight="1">
      <c r="A53" s="83"/>
      <c r="B53" s="94" t="s">
        <v>30</v>
      </c>
      <c r="C53" s="102">
        <v>34.0</v>
      </c>
      <c r="D53" s="102">
        <v>50.0</v>
      </c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ht="12.0" customHeight="1">
      <c r="A54" s="83"/>
      <c r="B54" s="94" t="s">
        <v>187</v>
      </c>
      <c r="C54" s="102">
        <v>30.0</v>
      </c>
      <c r="D54" s="102">
        <v>54.0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ht="12.0" customHeight="1">
      <c r="A55" s="83"/>
      <c r="B55" s="94" t="s">
        <v>188</v>
      </c>
      <c r="C55" s="102">
        <v>24.0</v>
      </c>
      <c r="D55" s="102">
        <v>60.0</v>
      </c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ht="12.0" customHeight="1">
      <c r="A56" s="83"/>
      <c r="B56" s="94"/>
      <c r="C56" s="102"/>
      <c r="D56" s="102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ht="12.0" customHeight="1">
      <c r="A57" s="83"/>
      <c r="B57" s="94" t="s">
        <v>189</v>
      </c>
      <c r="C57" s="102">
        <v>1.0</v>
      </c>
      <c r="D57" s="102">
        <v>1.0</v>
      </c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ht="12.0" customHeight="1">
      <c r="A58" s="83"/>
      <c r="B58" s="94" t="s">
        <v>32</v>
      </c>
      <c r="C58" s="102">
        <v>20.0</v>
      </c>
      <c r="D58" s="102">
        <v>64.0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ht="12.0" customHeight="1">
      <c r="A59" s="83"/>
      <c r="B59" s="94" t="s">
        <v>190</v>
      </c>
      <c r="C59" s="102">
        <v>24.0</v>
      </c>
      <c r="D59" s="102">
        <v>60.0</v>
      </c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ht="12.0" customHeight="1">
      <c r="A60" s="83"/>
      <c r="B60" s="94" t="s">
        <v>191</v>
      </c>
      <c r="C60" s="102">
        <v>30.0</v>
      </c>
      <c r="D60" s="102">
        <v>54.0</v>
      </c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ht="12.0" customHeight="1">
      <c r="A61" s="83"/>
      <c r="B61" s="94" t="s">
        <v>192</v>
      </c>
      <c r="C61" s="102">
        <v>34.0</v>
      </c>
      <c r="D61" s="102">
        <v>50.0</v>
      </c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ht="12.0" customHeight="1">
      <c r="A62" s="83"/>
      <c r="B62" s="94"/>
      <c r="C62" s="102"/>
      <c r="D62" s="102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ht="12.0" customHeight="1">
      <c r="A63" s="83"/>
      <c r="B63" s="94"/>
      <c r="C63" s="102"/>
      <c r="D63" s="102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ht="12.0" customHeight="1">
      <c r="A64" s="83"/>
      <c r="B64" s="82" t="s">
        <v>193</v>
      </c>
      <c r="C64" s="102"/>
      <c r="D64" s="102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ht="12.0" customHeight="1">
      <c r="A65" s="83"/>
      <c r="B65" s="104" t="s">
        <v>184</v>
      </c>
      <c r="C65" s="102"/>
      <c r="D65" s="102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ht="12.0" customHeight="1">
      <c r="A66" s="83"/>
      <c r="B66" s="103" t="s">
        <v>88</v>
      </c>
      <c r="C66" s="102">
        <v>12.0</v>
      </c>
      <c r="D66" s="102">
        <v>40.0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ht="12.0" customHeight="1">
      <c r="A67" s="83"/>
      <c r="B67" s="94" t="s">
        <v>194</v>
      </c>
      <c r="C67" s="102">
        <v>11.0</v>
      </c>
      <c r="D67" s="102">
        <v>40.0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ht="12.0" customHeight="1">
      <c r="A68" s="83"/>
      <c r="B68" s="94"/>
      <c r="C68" s="102"/>
      <c r="D68" s="102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ht="12.0" customHeight="1">
      <c r="A69" s="83"/>
      <c r="B69" s="94" t="s">
        <v>189</v>
      </c>
      <c r="C69" s="102">
        <v>1.0</v>
      </c>
      <c r="D69" s="102">
        <v>1.0</v>
      </c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ht="12.0" customHeight="1">
      <c r="A70" s="83"/>
      <c r="B70" s="94" t="s">
        <v>91</v>
      </c>
      <c r="C70" s="102">
        <v>34.0</v>
      </c>
      <c r="D70" s="102">
        <v>50.0</v>
      </c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ht="12.0" customHeight="1">
      <c r="A71" s="83"/>
      <c r="B71" s="94" t="s">
        <v>195</v>
      </c>
      <c r="C71" s="102">
        <v>30.0</v>
      </c>
      <c r="D71" s="102">
        <v>54.0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ht="12.0" customHeight="1">
      <c r="A72" s="83"/>
      <c r="B72" s="94" t="s">
        <v>196</v>
      </c>
      <c r="C72" s="102">
        <v>24.0</v>
      </c>
      <c r="D72" s="102">
        <v>60.0</v>
      </c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ht="12.0" customHeight="1">
      <c r="A73" s="83"/>
      <c r="B73" s="94" t="s">
        <v>197</v>
      </c>
      <c r="C73" s="102">
        <v>20.0</v>
      </c>
      <c r="D73" s="102">
        <v>64.0</v>
      </c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ht="12.0" customHeight="1">
      <c r="A74" s="83"/>
      <c r="B74" s="94"/>
      <c r="C74" s="102"/>
      <c r="D74" s="102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ht="12.0" customHeight="1">
      <c r="A75" s="83"/>
      <c r="B75" s="94" t="s">
        <v>101</v>
      </c>
      <c r="C75" s="102">
        <v>14.0</v>
      </c>
      <c r="D75" s="102">
        <v>40.0</v>
      </c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ht="12.0" customHeight="1">
      <c r="A76" s="83"/>
      <c r="B76" s="94" t="s">
        <v>198</v>
      </c>
      <c r="C76" s="102">
        <v>20.0</v>
      </c>
      <c r="D76" s="102">
        <v>34.0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ht="12.0" customHeight="1">
      <c r="A77" s="83"/>
      <c r="B77" s="94" t="s">
        <v>199</v>
      </c>
      <c r="C77" s="102">
        <v>24.0</v>
      </c>
      <c r="D77" s="102">
        <v>30.0</v>
      </c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ht="12.0" customHeight="1">
      <c r="A78" s="83"/>
      <c r="B78" s="94"/>
      <c r="C78" s="102"/>
      <c r="D78" s="102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ht="12.0" customHeight="1">
      <c r="A79" s="83"/>
      <c r="B79" s="94"/>
      <c r="C79" s="102"/>
      <c r="D79" s="102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ht="12.0" customHeight="1">
      <c r="A80" s="83"/>
      <c r="B80" s="82" t="s">
        <v>200</v>
      </c>
      <c r="C80" s="102"/>
      <c r="D80" s="102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ht="12.0" customHeight="1">
      <c r="A81" s="83"/>
      <c r="B81" s="100" t="s">
        <v>173</v>
      </c>
      <c r="C81" s="102"/>
      <c r="D81" s="102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ht="12.0" customHeight="1">
      <c r="A82" s="83"/>
      <c r="B82" s="103" t="s">
        <v>106</v>
      </c>
      <c r="C82" s="102">
        <v>11.0</v>
      </c>
      <c r="D82" s="102">
        <v>50.0</v>
      </c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ht="12.0" customHeight="1">
      <c r="A83" s="83"/>
      <c r="B83" s="103" t="s">
        <v>201</v>
      </c>
      <c r="C83" s="102">
        <v>12.0</v>
      </c>
      <c r="D83" s="102">
        <v>50.0</v>
      </c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ht="12.0" customHeight="1">
      <c r="A84" s="83"/>
      <c r="B84" s="103" t="s">
        <v>202</v>
      </c>
      <c r="C84" s="102">
        <v>13.0</v>
      </c>
      <c r="D84" s="102">
        <v>50.0</v>
      </c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ht="12.0" customHeight="1">
      <c r="A85" s="83"/>
      <c r="B85" s="103" t="s">
        <v>203</v>
      </c>
      <c r="C85" s="102">
        <v>14.0</v>
      </c>
      <c r="D85" s="102">
        <v>50.0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ht="12.0" customHeight="1">
      <c r="A86" s="83"/>
      <c r="B86" s="94"/>
      <c r="C86" s="102"/>
      <c r="D86" s="102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ht="12.0" customHeight="1">
      <c r="A87" s="83"/>
      <c r="B87" s="100" t="s">
        <v>204</v>
      </c>
      <c r="C87" s="102"/>
      <c r="D87" s="102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ht="12.0" customHeight="1">
      <c r="A88" s="83"/>
      <c r="B88" s="101" t="s">
        <v>108</v>
      </c>
      <c r="C88" s="102">
        <v>34.0</v>
      </c>
      <c r="D88" s="102">
        <v>40.0</v>
      </c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ht="12.0" customHeight="1">
      <c r="A89" s="83"/>
      <c r="B89" s="101" t="s">
        <v>205</v>
      </c>
      <c r="C89" s="102">
        <v>30.0</v>
      </c>
      <c r="D89" s="102">
        <v>44.0</v>
      </c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ht="12.0" customHeight="1">
      <c r="A90" s="83"/>
      <c r="B90" s="101" t="s">
        <v>206</v>
      </c>
      <c r="C90" s="102">
        <v>24.0</v>
      </c>
      <c r="D90" s="102">
        <v>50.0</v>
      </c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ht="12.0" customHeight="1">
      <c r="A91" s="83"/>
      <c r="B91" s="101" t="s">
        <v>207</v>
      </c>
      <c r="C91" s="102">
        <v>20.0</v>
      </c>
      <c r="D91" s="102">
        <v>54.0</v>
      </c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ht="12.0" customHeight="1">
      <c r="A92" s="83"/>
      <c r="B92" s="101" t="s">
        <v>208</v>
      </c>
      <c r="C92" s="102">
        <v>14.0</v>
      </c>
      <c r="D92" s="102">
        <v>60.0</v>
      </c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ht="12.0" customHeight="1">
      <c r="A93" s="83"/>
      <c r="B93" s="94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ht="12.0" customHeight="1">
      <c r="A94" s="83"/>
      <c r="B94" s="94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ht="12.0" customHeight="1">
      <c r="A95" s="83"/>
      <c r="B95" s="94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ht="12.0" customHeight="1">
      <c r="A96" s="83"/>
      <c r="B96" s="94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ht="12.0" customHeight="1">
      <c r="A97" s="83"/>
      <c r="B97" s="94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ht="12.0" customHeight="1">
      <c r="A98" s="83"/>
      <c r="B98" s="94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ht="12.0" customHeight="1">
      <c r="A99" s="83"/>
      <c r="B99" s="94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ht="12.0" customHeight="1">
      <c r="A100" s="83"/>
      <c r="B100" s="94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ht="12.0" customHeight="1">
      <c r="A101" s="83"/>
      <c r="B101" s="94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ht="12.0" customHeight="1">
      <c r="A102" s="83"/>
      <c r="B102" s="94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ht="12.0" customHeight="1">
      <c r="A103" s="83"/>
      <c r="B103" s="94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ht="12.0" customHeight="1">
      <c r="A104" s="83"/>
      <c r="B104" s="94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ht="12.0" customHeight="1">
      <c r="A105" s="83"/>
      <c r="B105" s="94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ht="12.0" customHeight="1">
      <c r="A106" s="83"/>
      <c r="B106" s="94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ht="12.0" customHeight="1">
      <c r="A107" s="83"/>
      <c r="B107" s="94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ht="12.0" customHeight="1">
      <c r="A108" s="83"/>
      <c r="B108" s="94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ht="12.0" customHeight="1">
      <c r="A109" s="83"/>
      <c r="B109" s="94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ht="12.0" customHeight="1">
      <c r="A110" s="83"/>
      <c r="B110" s="94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ht="12.0" customHeight="1">
      <c r="A111" s="83"/>
      <c r="B111" s="94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ht="12.0" customHeight="1">
      <c r="A112" s="83"/>
      <c r="B112" s="94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ht="12.0" customHeight="1">
      <c r="A113" s="83"/>
      <c r="B113" s="94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ht="12.0" customHeight="1">
      <c r="A114" s="83"/>
      <c r="B114" s="94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ht="12.0" customHeight="1">
      <c r="A115" s="83"/>
      <c r="B115" s="94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ht="12.0" customHeight="1">
      <c r="A116" s="83"/>
      <c r="B116" s="94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ht="12.0" customHeight="1">
      <c r="A117" s="83"/>
      <c r="B117" s="94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ht="12.0" customHeight="1">
      <c r="A118" s="83"/>
      <c r="B118" s="94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ht="12.0" customHeight="1">
      <c r="A119" s="83"/>
      <c r="B119" s="94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ht="12.0" customHeight="1">
      <c r="A120" s="83"/>
      <c r="B120" s="94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ht="12.0" customHeight="1">
      <c r="A121" s="83"/>
      <c r="B121" s="94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ht="12.0" customHeight="1">
      <c r="A122" s="83"/>
      <c r="B122" s="94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ht="12.0" customHeight="1">
      <c r="A123" s="83"/>
      <c r="B123" s="94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ht="12.0" customHeight="1">
      <c r="A124" s="83"/>
      <c r="B124" s="94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ht="12.0" customHeight="1">
      <c r="A125" s="83"/>
      <c r="B125" s="94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ht="12.0" customHeight="1">
      <c r="A126" s="83"/>
      <c r="B126" s="94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ht="12.0" customHeight="1">
      <c r="A127" s="83"/>
      <c r="B127" s="94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ht="12.0" customHeight="1">
      <c r="A128" s="83"/>
      <c r="B128" s="94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ht="12.0" customHeight="1">
      <c r="A129" s="83"/>
      <c r="B129" s="94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ht="12.0" customHeight="1">
      <c r="A130" s="83"/>
      <c r="B130" s="94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ht="12.0" customHeight="1">
      <c r="A131" s="83"/>
      <c r="B131" s="94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ht="12.0" customHeight="1">
      <c r="A132" s="83"/>
      <c r="B132" s="94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ht="12.0" customHeight="1">
      <c r="A133" s="83"/>
      <c r="B133" s="94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ht="12.0" customHeight="1">
      <c r="A134" s="83"/>
      <c r="B134" s="94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ht="12.0" customHeight="1">
      <c r="A135" s="83"/>
      <c r="B135" s="94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ht="12.0" customHeight="1">
      <c r="A136" s="83"/>
      <c r="B136" s="94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ht="12.0" customHeight="1">
      <c r="A137" s="83"/>
      <c r="B137" s="94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ht="12.0" customHeight="1">
      <c r="A138" s="83"/>
      <c r="B138" s="94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ht="12.0" customHeight="1">
      <c r="A139" s="83"/>
      <c r="B139" s="94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ht="12.0" customHeight="1">
      <c r="A140" s="83"/>
      <c r="B140" s="94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ht="12.0" customHeight="1">
      <c r="A141" s="83"/>
      <c r="B141" s="94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ht="12.0" customHeight="1">
      <c r="A142" s="83"/>
      <c r="B142" s="94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ht="12.0" customHeight="1">
      <c r="A143" s="83"/>
      <c r="B143" s="94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ht="12.0" customHeight="1">
      <c r="A144" s="83"/>
      <c r="B144" s="94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ht="12.0" customHeight="1">
      <c r="A145" s="83"/>
      <c r="B145" s="94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ht="12.0" customHeight="1">
      <c r="A146" s="83"/>
      <c r="B146" s="94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ht="12.0" customHeight="1">
      <c r="A147" s="83"/>
      <c r="B147" s="94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ht="12.0" customHeight="1">
      <c r="A148" s="83"/>
      <c r="B148" s="94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ht="12.0" customHeight="1">
      <c r="A149" s="83"/>
      <c r="B149" s="94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ht="12.0" customHeight="1">
      <c r="A150" s="83"/>
      <c r="B150" s="94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ht="12.0" customHeight="1">
      <c r="A151" s="83"/>
      <c r="B151" s="94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ht="12.0" customHeight="1">
      <c r="A152" s="83"/>
      <c r="B152" s="94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ht="12.0" customHeight="1">
      <c r="A153" s="83"/>
      <c r="B153" s="94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ht="12.0" customHeight="1">
      <c r="A154" s="83"/>
      <c r="B154" s="94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ht="12.0" customHeight="1">
      <c r="A155" s="83"/>
      <c r="B155" s="94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ht="12.0" customHeight="1">
      <c r="A156" s="83"/>
      <c r="B156" s="94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ht="12.0" customHeight="1">
      <c r="A157" s="83"/>
      <c r="B157" s="94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ht="12.0" customHeight="1">
      <c r="A158" s="83"/>
      <c r="B158" s="94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ht="12.0" customHeight="1">
      <c r="A159" s="83"/>
      <c r="B159" s="94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ht="12.0" customHeight="1">
      <c r="A160" s="83"/>
      <c r="B160" s="94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ht="12.0" customHeight="1">
      <c r="A161" s="83"/>
      <c r="B161" s="94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ht="12.0" customHeight="1">
      <c r="A162" s="83"/>
      <c r="B162" s="94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ht="12.0" customHeight="1">
      <c r="A163" s="83"/>
      <c r="B163" s="94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ht="12.0" customHeight="1">
      <c r="A164" s="83"/>
      <c r="B164" s="94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ht="12.0" customHeight="1">
      <c r="A165" s="83"/>
      <c r="B165" s="94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ht="12.0" customHeight="1">
      <c r="A166" s="83"/>
      <c r="B166" s="94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ht="12.0" customHeight="1">
      <c r="A167" s="83"/>
      <c r="B167" s="94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ht="12.0" customHeight="1">
      <c r="A168" s="83"/>
      <c r="B168" s="94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ht="12.0" customHeight="1">
      <c r="A169" s="83"/>
      <c r="B169" s="94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ht="12.0" customHeight="1">
      <c r="A170" s="83"/>
      <c r="B170" s="94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ht="12.0" customHeight="1">
      <c r="A171" s="83"/>
      <c r="B171" s="94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ht="12.0" customHeight="1">
      <c r="A172" s="83"/>
      <c r="B172" s="94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ht="12.0" customHeight="1">
      <c r="A173" s="83"/>
      <c r="B173" s="94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ht="12.0" customHeight="1">
      <c r="A174" s="83"/>
      <c r="B174" s="94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ht="12.0" customHeight="1">
      <c r="A175" s="83"/>
      <c r="B175" s="94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ht="12.0" customHeight="1">
      <c r="A176" s="83"/>
      <c r="B176" s="94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ht="12.0" customHeight="1">
      <c r="A177" s="83"/>
      <c r="B177" s="94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ht="12.0" customHeight="1">
      <c r="A178" s="83"/>
      <c r="B178" s="94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ht="12.0" customHeight="1">
      <c r="A179" s="83"/>
      <c r="B179" s="94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ht="12.0" customHeight="1">
      <c r="A180" s="83"/>
      <c r="B180" s="94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ht="12.0" customHeight="1">
      <c r="A181" s="83"/>
      <c r="B181" s="94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ht="12.0" customHeight="1">
      <c r="A182" s="83"/>
      <c r="B182" s="94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ht="12.0" customHeight="1">
      <c r="A183" s="83"/>
      <c r="B183" s="94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ht="12.0" customHeight="1">
      <c r="A184" s="83"/>
      <c r="B184" s="94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ht="12.0" customHeight="1">
      <c r="A185" s="83"/>
      <c r="B185" s="94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ht="12.0" customHeight="1">
      <c r="A186" s="83"/>
      <c r="B186" s="94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ht="12.0" customHeight="1">
      <c r="A187" s="83"/>
      <c r="B187" s="94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ht="12.0" customHeight="1">
      <c r="A188" s="83"/>
      <c r="B188" s="94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ht="12.0" customHeight="1">
      <c r="A189" s="83"/>
      <c r="B189" s="94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ht="12.0" customHeight="1">
      <c r="A190" s="83"/>
      <c r="B190" s="94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ht="12.0" customHeight="1">
      <c r="A191" s="83"/>
      <c r="B191" s="94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ht="12.0" customHeight="1">
      <c r="A192" s="83"/>
      <c r="B192" s="94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ht="12.0" customHeight="1">
      <c r="A193" s="83"/>
      <c r="B193" s="94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ht="12.0" customHeight="1">
      <c r="A194" s="83"/>
      <c r="B194" s="94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ht="12.0" customHeight="1">
      <c r="A195" s="83"/>
      <c r="B195" s="94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ht="12.0" customHeight="1">
      <c r="A196" s="83"/>
      <c r="B196" s="94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ht="12.0" customHeight="1">
      <c r="A197" s="83"/>
      <c r="B197" s="94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ht="12.0" customHeight="1">
      <c r="A198" s="83"/>
      <c r="B198" s="94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ht="12.0" customHeight="1">
      <c r="A199" s="83"/>
      <c r="B199" s="94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ht="12.0" customHeight="1">
      <c r="A200" s="83"/>
      <c r="B200" s="94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ht="12.0" customHeight="1">
      <c r="A201" s="83"/>
      <c r="B201" s="94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ht="12.0" customHeight="1">
      <c r="A202" s="83"/>
      <c r="B202" s="94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ht="12.0" customHeight="1">
      <c r="A203" s="83"/>
      <c r="B203" s="94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ht="12.0" customHeight="1">
      <c r="A204" s="83"/>
      <c r="B204" s="94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ht="12.0" customHeight="1">
      <c r="A205" s="83"/>
      <c r="B205" s="94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ht="12.0" customHeight="1">
      <c r="A206" s="83"/>
      <c r="B206" s="94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ht="12.0" customHeight="1">
      <c r="A207" s="83"/>
      <c r="B207" s="94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ht="12.0" customHeight="1">
      <c r="A208" s="83"/>
      <c r="B208" s="94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ht="12.0" customHeight="1">
      <c r="A209" s="83"/>
      <c r="B209" s="94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ht="12.0" customHeight="1">
      <c r="A210" s="83"/>
      <c r="B210" s="94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ht="12.0" customHeight="1">
      <c r="A211" s="83"/>
      <c r="B211" s="94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ht="12.0" customHeight="1">
      <c r="A212" s="83"/>
      <c r="B212" s="94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ht="12.0" customHeight="1">
      <c r="A213" s="83"/>
      <c r="B213" s="94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ht="12.0" customHeight="1">
      <c r="A214" s="83"/>
      <c r="B214" s="94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ht="12.0" customHeight="1">
      <c r="A215" s="83"/>
      <c r="B215" s="94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ht="12.0" customHeight="1">
      <c r="A216" s="83"/>
      <c r="B216" s="94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ht="12.0" customHeight="1">
      <c r="A217" s="83"/>
      <c r="B217" s="94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ht="12.0" customHeight="1">
      <c r="A218" s="83"/>
      <c r="B218" s="94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ht="12.0" customHeight="1">
      <c r="A219" s="83"/>
      <c r="B219" s="94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ht="12.0" customHeight="1">
      <c r="A220" s="83"/>
      <c r="B220" s="94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ht="12.0" customHeight="1">
      <c r="A221" s="83"/>
      <c r="B221" s="94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ht="12.0" customHeight="1">
      <c r="A222" s="83"/>
      <c r="B222" s="94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ht="12.0" customHeight="1">
      <c r="A223" s="83"/>
      <c r="B223" s="94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ht="12.0" customHeight="1">
      <c r="A224" s="83"/>
      <c r="B224" s="94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ht="12.0" customHeight="1">
      <c r="A225" s="83"/>
      <c r="B225" s="94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ht="12.0" customHeight="1">
      <c r="A226" s="83"/>
      <c r="B226" s="94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ht="12.0" customHeight="1">
      <c r="A227" s="83"/>
      <c r="B227" s="94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ht="12.0" customHeight="1">
      <c r="A228" s="83"/>
      <c r="B228" s="94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ht="12.0" customHeight="1">
      <c r="A229" s="83"/>
      <c r="B229" s="94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ht="12.0" customHeight="1">
      <c r="A230" s="83"/>
      <c r="B230" s="94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ht="12.0" customHeight="1">
      <c r="A231" s="83"/>
      <c r="B231" s="94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ht="12.0" customHeight="1">
      <c r="A232" s="83"/>
      <c r="B232" s="94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ht="12.0" customHeight="1">
      <c r="A233" s="83"/>
      <c r="B233" s="94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ht="12.0" customHeight="1">
      <c r="A234" s="83"/>
      <c r="B234" s="94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ht="12.0" customHeight="1">
      <c r="A235" s="83"/>
      <c r="B235" s="94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ht="12.0" customHeight="1">
      <c r="A236" s="83"/>
      <c r="B236" s="94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ht="12.0" customHeight="1">
      <c r="A237" s="83"/>
      <c r="B237" s="94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ht="12.0" customHeight="1">
      <c r="A238" s="83"/>
      <c r="B238" s="94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ht="12.0" customHeight="1">
      <c r="A239" s="83"/>
      <c r="B239" s="94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ht="12.0" customHeight="1">
      <c r="A240" s="83"/>
      <c r="B240" s="94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ht="12.0" customHeight="1">
      <c r="A241" s="83"/>
      <c r="B241" s="94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ht="12.0" customHeight="1">
      <c r="A242" s="83"/>
      <c r="B242" s="94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ht="12.0" customHeight="1">
      <c r="A243" s="83"/>
      <c r="B243" s="94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ht="12.0" customHeight="1">
      <c r="A244" s="83"/>
      <c r="B244" s="94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ht="12.0" customHeight="1">
      <c r="A245" s="83"/>
      <c r="B245" s="94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ht="12.0" customHeight="1">
      <c r="A246" s="83"/>
      <c r="B246" s="94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ht="12.0" customHeight="1">
      <c r="A247" s="83"/>
      <c r="B247" s="94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ht="12.0" customHeight="1">
      <c r="A248" s="83"/>
      <c r="B248" s="94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ht="12.0" customHeight="1">
      <c r="A249" s="83"/>
      <c r="B249" s="94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ht="12.0" customHeight="1">
      <c r="A250" s="83"/>
      <c r="B250" s="94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ht="12.0" customHeight="1">
      <c r="A251" s="83"/>
      <c r="B251" s="94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ht="12.0" customHeight="1">
      <c r="A252" s="83"/>
      <c r="B252" s="94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ht="12.0" customHeight="1">
      <c r="A253" s="83"/>
      <c r="B253" s="94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ht="12.0" customHeight="1">
      <c r="A254" s="83"/>
      <c r="B254" s="94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ht="12.0" customHeight="1">
      <c r="A255" s="83"/>
      <c r="B255" s="94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ht="12.0" customHeight="1">
      <c r="A256" s="83"/>
      <c r="B256" s="94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ht="12.0" customHeight="1">
      <c r="A257" s="83"/>
      <c r="B257" s="94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ht="12.0" customHeight="1">
      <c r="A258" s="83"/>
      <c r="B258" s="94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ht="12.0" customHeight="1">
      <c r="A259" s="83"/>
      <c r="B259" s="94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ht="12.0" customHeight="1">
      <c r="A260" s="83"/>
      <c r="B260" s="94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ht="12.0" customHeight="1">
      <c r="A261" s="83"/>
      <c r="B261" s="94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ht="12.0" customHeight="1">
      <c r="A262" s="83"/>
      <c r="B262" s="94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ht="12.0" customHeight="1">
      <c r="A263" s="83"/>
      <c r="B263" s="94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ht="12.0" customHeight="1">
      <c r="A264" s="83"/>
      <c r="B264" s="94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ht="12.0" customHeight="1">
      <c r="A265" s="83"/>
      <c r="B265" s="94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ht="12.0" customHeight="1">
      <c r="A266" s="83"/>
      <c r="B266" s="94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ht="12.0" customHeight="1">
      <c r="A267" s="83"/>
      <c r="B267" s="94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ht="12.0" customHeight="1">
      <c r="A268" s="83"/>
      <c r="B268" s="94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ht="12.0" customHeight="1">
      <c r="A269" s="83"/>
      <c r="B269" s="94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ht="12.0" customHeight="1">
      <c r="A270" s="83"/>
      <c r="B270" s="94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ht="12.0" customHeight="1">
      <c r="A271" s="83"/>
      <c r="B271" s="94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ht="12.0" customHeight="1">
      <c r="A272" s="83"/>
      <c r="B272" s="94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ht="12.0" customHeight="1">
      <c r="A273" s="83"/>
      <c r="B273" s="94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ht="12.0" customHeight="1">
      <c r="A274" s="83"/>
      <c r="B274" s="94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ht="12.0" customHeight="1">
      <c r="A275" s="83"/>
      <c r="B275" s="94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ht="12.0" customHeight="1">
      <c r="A276" s="83"/>
      <c r="B276" s="94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ht="12.0" customHeight="1">
      <c r="A277" s="83"/>
      <c r="B277" s="94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ht="12.0" customHeight="1">
      <c r="A278" s="83"/>
      <c r="B278" s="94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ht="12.0" customHeight="1">
      <c r="A279" s="83"/>
      <c r="B279" s="94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ht="12.0" customHeight="1">
      <c r="A280" s="83"/>
      <c r="B280" s="94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ht="12.0" customHeight="1">
      <c r="A281" s="83"/>
      <c r="B281" s="94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ht="12.0" customHeight="1">
      <c r="A282" s="83"/>
      <c r="B282" s="94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ht="12.0" customHeight="1">
      <c r="A283" s="83"/>
      <c r="B283" s="94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ht="12.0" customHeight="1">
      <c r="A284" s="83"/>
      <c r="B284" s="94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ht="12.0" customHeight="1">
      <c r="A285" s="83"/>
      <c r="B285" s="94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ht="12.0" customHeight="1">
      <c r="A286" s="83"/>
      <c r="B286" s="94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ht="12.0" customHeight="1">
      <c r="A287" s="83"/>
      <c r="B287" s="94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ht="12.0" customHeight="1">
      <c r="A288" s="83"/>
      <c r="B288" s="94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ht="12.0" customHeight="1">
      <c r="A289" s="83"/>
      <c r="B289" s="94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ht="12.0" customHeight="1">
      <c r="A290" s="83"/>
      <c r="B290" s="94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ht="12.0" customHeight="1">
      <c r="A291" s="83"/>
      <c r="B291" s="94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ht="12.0" customHeight="1">
      <c r="A292" s="83"/>
      <c r="B292" s="94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ht="12.0" customHeight="1">
      <c r="A293" s="83"/>
      <c r="B293" s="94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ht="12.0" customHeight="1">
      <c r="A294" s="83"/>
      <c r="B294" s="94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ht="12.0" customHeight="1">
      <c r="A295" s="83"/>
      <c r="B295" s="94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ht="12.0" customHeight="1">
      <c r="A296" s="83"/>
      <c r="B296" s="94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ht="12.0" customHeight="1">
      <c r="A297" s="83"/>
      <c r="B297" s="94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ht="12.0" customHeight="1">
      <c r="A298" s="83"/>
      <c r="B298" s="94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ht="12.0" customHeight="1">
      <c r="A299" s="83"/>
      <c r="B299" s="94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ht="12.0" customHeight="1">
      <c r="A300" s="83"/>
      <c r="B300" s="94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ht="12.0" customHeight="1">
      <c r="A301" s="83"/>
      <c r="B301" s="94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ht="12.0" customHeight="1">
      <c r="A302" s="83"/>
      <c r="B302" s="94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ht="12.0" customHeight="1">
      <c r="A303" s="83"/>
      <c r="B303" s="94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ht="12.0" customHeight="1">
      <c r="A304" s="83"/>
      <c r="B304" s="94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ht="12.0" customHeight="1">
      <c r="A305" s="83"/>
      <c r="B305" s="94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ht="12.0" customHeight="1">
      <c r="A306" s="83"/>
      <c r="B306" s="94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ht="12.0" customHeight="1">
      <c r="A307" s="83"/>
      <c r="B307" s="94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ht="12.0" customHeight="1">
      <c r="A308" s="83"/>
      <c r="B308" s="94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ht="12.0" customHeight="1">
      <c r="A309" s="83"/>
      <c r="B309" s="94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ht="12.0" customHeight="1">
      <c r="A310" s="83"/>
      <c r="B310" s="94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ht="12.0" customHeight="1">
      <c r="A311" s="83"/>
      <c r="B311" s="94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ht="12.0" customHeight="1">
      <c r="A312" s="83"/>
      <c r="B312" s="94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ht="12.0" customHeight="1">
      <c r="A313" s="83"/>
      <c r="B313" s="94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ht="12.0" customHeight="1">
      <c r="A314" s="83"/>
      <c r="B314" s="94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ht="12.0" customHeight="1">
      <c r="A315" s="83"/>
      <c r="B315" s="94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ht="12.0" customHeight="1">
      <c r="A316" s="83"/>
      <c r="B316" s="94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ht="12.0" customHeight="1">
      <c r="A317" s="83"/>
      <c r="B317" s="94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ht="12.0" customHeight="1">
      <c r="A318" s="83"/>
      <c r="B318" s="94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ht="12.0" customHeight="1">
      <c r="A319" s="83"/>
      <c r="B319" s="94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ht="12.0" customHeight="1">
      <c r="A320" s="83"/>
      <c r="B320" s="94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ht="12.0" customHeight="1">
      <c r="A321" s="83"/>
      <c r="B321" s="94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ht="12.0" customHeight="1">
      <c r="A322" s="83"/>
      <c r="B322" s="94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ht="12.0" customHeight="1">
      <c r="A323" s="83"/>
      <c r="B323" s="94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ht="12.0" customHeight="1">
      <c r="A324" s="83"/>
      <c r="B324" s="94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ht="12.0" customHeight="1">
      <c r="A325" s="83"/>
      <c r="B325" s="94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ht="12.0" customHeight="1">
      <c r="A326" s="83"/>
      <c r="B326" s="94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ht="12.0" customHeight="1">
      <c r="A327" s="83"/>
      <c r="B327" s="94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ht="12.0" customHeight="1">
      <c r="A328" s="83"/>
      <c r="B328" s="94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ht="12.0" customHeight="1">
      <c r="A329" s="83"/>
      <c r="B329" s="94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ht="12.0" customHeight="1">
      <c r="A330" s="83"/>
      <c r="B330" s="94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ht="12.0" customHeight="1">
      <c r="A331" s="83"/>
      <c r="B331" s="94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ht="12.0" customHeight="1">
      <c r="A332" s="83"/>
      <c r="B332" s="94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ht="12.0" customHeight="1">
      <c r="A333" s="83"/>
      <c r="B333" s="94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ht="12.0" customHeight="1">
      <c r="A334" s="83"/>
      <c r="B334" s="94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ht="12.0" customHeight="1">
      <c r="A335" s="83"/>
      <c r="B335" s="94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ht="12.0" customHeight="1">
      <c r="A336" s="83"/>
      <c r="B336" s="94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ht="12.0" customHeight="1">
      <c r="A337" s="83"/>
      <c r="B337" s="94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ht="12.0" customHeight="1">
      <c r="A338" s="83"/>
      <c r="B338" s="94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ht="12.0" customHeight="1">
      <c r="A339" s="83"/>
      <c r="B339" s="94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ht="12.0" customHeight="1">
      <c r="A340" s="83"/>
      <c r="B340" s="94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ht="12.0" customHeight="1">
      <c r="A341" s="83"/>
      <c r="B341" s="94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ht="12.0" customHeight="1">
      <c r="A342" s="83"/>
      <c r="B342" s="94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ht="12.0" customHeight="1">
      <c r="A343" s="83"/>
      <c r="B343" s="94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ht="12.0" customHeight="1">
      <c r="A344" s="83"/>
      <c r="B344" s="94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ht="12.0" customHeight="1">
      <c r="A345" s="83"/>
      <c r="B345" s="94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ht="12.0" customHeight="1">
      <c r="A346" s="83"/>
      <c r="B346" s="94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ht="12.0" customHeight="1">
      <c r="A347" s="83"/>
      <c r="B347" s="94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ht="12.0" customHeight="1">
      <c r="A348" s="83"/>
      <c r="B348" s="94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ht="12.0" customHeight="1">
      <c r="A349" s="83"/>
      <c r="B349" s="94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ht="12.0" customHeight="1">
      <c r="A350" s="83"/>
      <c r="B350" s="94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ht="12.0" customHeight="1">
      <c r="A351" s="83"/>
      <c r="B351" s="94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ht="12.0" customHeight="1">
      <c r="A352" s="83"/>
      <c r="B352" s="94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ht="12.0" customHeight="1">
      <c r="A353" s="83"/>
      <c r="B353" s="94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ht="12.0" customHeight="1">
      <c r="A354" s="83"/>
      <c r="B354" s="94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ht="12.0" customHeight="1">
      <c r="A355" s="83"/>
      <c r="B355" s="94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ht="12.0" customHeight="1">
      <c r="A356" s="83"/>
      <c r="B356" s="94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ht="12.0" customHeight="1">
      <c r="A357" s="83"/>
      <c r="B357" s="94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ht="12.0" customHeight="1">
      <c r="A358" s="83"/>
      <c r="B358" s="94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ht="12.0" customHeight="1">
      <c r="A359" s="83"/>
      <c r="B359" s="94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ht="12.0" customHeight="1">
      <c r="A360" s="83"/>
      <c r="B360" s="94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ht="12.0" customHeight="1">
      <c r="A361" s="83"/>
      <c r="B361" s="94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ht="12.0" customHeight="1">
      <c r="A362" s="83"/>
      <c r="B362" s="94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ht="12.0" customHeight="1">
      <c r="A363" s="83"/>
      <c r="B363" s="94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ht="12.0" customHeight="1">
      <c r="A364" s="83"/>
      <c r="B364" s="94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ht="12.0" customHeight="1">
      <c r="A365" s="83"/>
      <c r="B365" s="94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ht="12.0" customHeight="1">
      <c r="A366" s="83"/>
      <c r="B366" s="94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ht="12.0" customHeight="1">
      <c r="A367" s="83"/>
      <c r="B367" s="94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ht="12.0" customHeight="1">
      <c r="A368" s="83"/>
      <c r="B368" s="94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ht="12.0" customHeight="1">
      <c r="A369" s="83"/>
      <c r="B369" s="94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ht="12.0" customHeight="1">
      <c r="A370" s="83"/>
      <c r="B370" s="94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ht="12.0" customHeight="1">
      <c r="A371" s="83"/>
      <c r="B371" s="94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ht="12.0" customHeight="1">
      <c r="A372" s="83"/>
      <c r="B372" s="94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ht="12.0" customHeight="1">
      <c r="A373" s="83"/>
      <c r="B373" s="94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ht="12.0" customHeight="1">
      <c r="A374" s="83"/>
      <c r="B374" s="94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ht="12.0" customHeight="1">
      <c r="A375" s="83"/>
      <c r="B375" s="94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ht="12.0" customHeight="1">
      <c r="A376" s="83"/>
      <c r="B376" s="94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ht="12.0" customHeight="1">
      <c r="A377" s="83"/>
      <c r="B377" s="94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ht="12.0" customHeight="1">
      <c r="A378" s="83"/>
      <c r="B378" s="94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ht="12.0" customHeight="1">
      <c r="A379" s="83"/>
      <c r="B379" s="94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ht="12.0" customHeight="1">
      <c r="A380" s="83"/>
      <c r="B380" s="94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ht="12.0" customHeight="1">
      <c r="A381" s="83"/>
      <c r="B381" s="94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ht="12.0" customHeight="1">
      <c r="A382" s="83"/>
      <c r="B382" s="94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ht="12.0" customHeight="1">
      <c r="A383" s="83"/>
      <c r="B383" s="94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ht="12.0" customHeight="1">
      <c r="A384" s="83"/>
      <c r="B384" s="94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ht="12.0" customHeight="1">
      <c r="A385" s="83"/>
      <c r="B385" s="94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ht="12.0" customHeight="1">
      <c r="A386" s="83"/>
      <c r="B386" s="94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ht="12.0" customHeight="1">
      <c r="A387" s="83"/>
      <c r="B387" s="94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ht="12.0" customHeight="1">
      <c r="A388" s="83"/>
      <c r="B388" s="94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ht="12.0" customHeight="1">
      <c r="A389" s="83"/>
      <c r="B389" s="94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ht="12.0" customHeight="1">
      <c r="A390" s="83"/>
      <c r="B390" s="94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ht="12.0" customHeight="1">
      <c r="A391" s="83"/>
      <c r="B391" s="94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ht="12.0" customHeight="1">
      <c r="A392" s="83"/>
      <c r="B392" s="94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ht="12.0" customHeight="1">
      <c r="A393" s="83"/>
      <c r="B393" s="94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ht="12.0" customHeight="1">
      <c r="A394" s="83"/>
      <c r="B394" s="94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ht="12.0" customHeight="1">
      <c r="A395" s="83"/>
      <c r="B395" s="94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ht="12.0" customHeight="1">
      <c r="A396" s="83"/>
      <c r="B396" s="94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ht="12.0" customHeight="1">
      <c r="A397" s="83"/>
      <c r="B397" s="94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ht="12.0" customHeight="1">
      <c r="A398" s="83"/>
      <c r="B398" s="94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ht="12.0" customHeight="1">
      <c r="A399" s="83"/>
      <c r="B399" s="94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ht="12.0" customHeight="1">
      <c r="A400" s="83"/>
      <c r="B400" s="94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ht="12.0" customHeight="1">
      <c r="A401" s="83"/>
      <c r="B401" s="94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ht="12.0" customHeight="1">
      <c r="A402" s="83"/>
      <c r="B402" s="94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ht="12.0" customHeight="1">
      <c r="A403" s="83"/>
      <c r="B403" s="94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ht="12.0" customHeight="1">
      <c r="A404" s="83"/>
      <c r="B404" s="94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ht="12.0" customHeight="1">
      <c r="A405" s="83"/>
      <c r="B405" s="94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ht="12.0" customHeight="1">
      <c r="A406" s="83"/>
      <c r="B406" s="94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ht="12.0" customHeight="1">
      <c r="A407" s="83"/>
      <c r="B407" s="94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ht="12.0" customHeight="1">
      <c r="A408" s="83"/>
      <c r="B408" s="94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ht="12.0" customHeight="1">
      <c r="A409" s="83"/>
      <c r="B409" s="94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ht="12.0" customHeight="1">
      <c r="A410" s="83"/>
      <c r="B410" s="94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ht="12.0" customHeight="1">
      <c r="A411" s="83"/>
      <c r="B411" s="94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ht="12.0" customHeight="1">
      <c r="A412" s="83"/>
      <c r="B412" s="94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ht="12.0" customHeight="1">
      <c r="A413" s="83"/>
      <c r="B413" s="94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ht="12.0" customHeight="1">
      <c r="A414" s="83"/>
      <c r="B414" s="94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ht="12.0" customHeight="1">
      <c r="A415" s="83"/>
      <c r="B415" s="94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ht="12.0" customHeight="1">
      <c r="A416" s="83"/>
      <c r="B416" s="94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ht="12.0" customHeight="1">
      <c r="A417" s="83"/>
      <c r="B417" s="94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ht="12.0" customHeight="1">
      <c r="A418" s="83"/>
      <c r="B418" s="94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ht="12.0" customHeight="1">
      <c r="A419" s="83"/>
      <c r="B419" s="94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ht="12.0" customHeight="1">
      <c r="A420" s="83"/>
      <c r="B420" s="94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ht="12.0" customHeight="1">
      <c r="A421" s="83"/>
      <c r="B421" s="94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ht="12.0" customHeight="1">
      <c r="A422" s="83"/>
      <c r="B422" s="94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ht="12.0" customHeight="1">
      <c r="A423" s="83"/>
      <c r="B423" s="94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ht="12.0" customHeight="1">
      <c r="A424" s="83"/>
      <c r="B424" s="94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ht="12.0" customHeight="1">
      <c r="A425" s="83"/>
      <c r="B425" s="94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ht="12.0" customHeight="1">
      <c r="A426" s="83"/>
      <c r="B426" s="94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ht="12.0" customHeight="1">
      <c r="A427" s="83"/>
      <c r="B427" s="94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ht="12.0" customHeight="1">
      <c r="A428" s="83"/>
      <c r="B428" s="94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ht="12.0" customHeight="1">
      <c r="A429" s="83"/>
      <c r="B429" s="94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ht="12.0" customHeight="1">
      <c r="A430" s="83"/>
      <c r="B430" s="94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ht="12.0" customHeight="1">
      <c r="A431" s="83"/>
      <c r="B431" s="94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ht="12.0" customHeight="1">
      <c r="A432" s="83"/>
      <c r="B432" s="94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ht="12.0" customHeight="1">
      <c r="A433" s="83"/>
      <c r="B433" s="94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ht="12.0" customHeight="1">
      <c r="A434" s="83"/>
      <c r="B434" s="94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ht="12.0" customHeight="1">
      <c r="A435" s="83"/>
      <c r="B435" s="94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ht="12.0" customHeight="1">
      <c r="A436" s="83"/>
      <c r="B436" s="94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ht="12.0" customHeight="1">
      <c r="A437" s="83"/>
      <c r="B437" s="94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ht="12.0" customHeight="1">
      <c r="A438" s="83"/>
      <c r="B438" s="94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ht="12.0" customHeight="1">
      <c r="A439" s="83"/>
      <c r="B439" s="94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ht="12.0" customHeight="1">
      <c r="A440" s="83"/>
      <c r="B440" s="94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ht="12.0" customHeight="1">
      <c r="A441" s="83"/>
      <c r="B441" s="94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ht="12.0" customHeight="1">
      <c r="A442" s="83"/>
      <c r="B442" s="94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ht="12.0" customHeight="1">
      <c r="A443" s="83"/>
      <c r="B443" s="94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ht="12.0" customHeight="1">
      <c r="A444" s="83"/>
      <c r="B444" s="94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ht="12.0" customHeight="1">
      <c r="A445" s="83"/>
      <c r="B445" s="94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ht="12.0" customHeight="1">
      <c r="A446" s="83"/>
      <c r="B446" s="94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ht="12.0" customHeight="1">
      <c r="A447" s="83"/>
      <c r="B447" s="94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ht="12.0" customHeight="1">
      <c r="A448" s="83"/>
      <c r="B448" s="94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ht="12.0" customHeight="1">
      <c r="A449" s="83"/>
      <c r="B449" s="94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ht="12.0" customHeight="1">
      <c r="A450" s="83"/>
      <c r="B450" s="94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ht="12.0" customHeight="1">
      <c r="A451" s="83"/>
      <c r="B451" s="94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ht="12.0" customHeight="1">
      <c r="A452" s="83"/>
      <c r="B452" s="94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ht="12.0" customHeight="1">
      <c r="A453" s="83"/>
      <c r="B453" s="94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ht="12.0" customHeight="1">
      <c r="A454" s="83"/>
      <c r="B454" s="94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ht="12.0" customHeight="1">
      <c r="A455" s="83"/>
      <c r="B455" s="94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ht="12.0" customHeight="1">
      <c r="A456" s="83"/>
      <c r="B456" s="94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ht="12.0" customHeight="1">
      <c r="A457" s="83"/>
      <c r="B457" s="94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ht="12.0" customHeight="1">
      <c r="A458" s="83"/>
      <c r="B458" s="94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ht="12.0" customHeight="1">
      <c r="A459" s="83"/>
      <c r="B459" s="94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ht="12.0" customHeight="1">
      <c r="A460" s="83"/>
      <c r="B460" s="94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ht="12.0" customHeight="1">
      <c r="A461" s="83"/>
      <c r="B461" s="94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ht="12.0" customHeight="1">
      <c r="A462" s="83"/>
      <c r="B462" s="94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ht="12.0" customHeight="1">
      <c r="A463" s="83"/>
      <c r="B463" s="94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ht="12.0" customHeight="1">
      <c r="A464" s="83"/>
      <c r="B464" s="94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ht="12.0" customHeight="1">
      <c r="A465" s="83"/>
      <c r="B465" s="94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ht="12.0" customHeight="1">
      <c r="A466" s="83"/>
      <c r="B466" s="94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ht="12.0" customHeight="1">
      <c r="A467" s="83"/>
      <c r="B467" s="94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ht="12.0" customHeight="1">
      <c r="A468" s="83"/>
      <c r="B468" s="94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ht="12.0" customHeight="1">
      <c r="A469" s="83"/>
      <c r="B469" s="94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ht="12.0" customHeight="1">
      <c r="A470" s="83"/>
      <c r="B470" s="94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ht="12.0" customHeight="1">
      <c r="A471" s="83"/>
      <c r="B471" s="94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ht="12.0" customHeight="1">
      <c r="A472" s="83"/>
      <c r="B472" s="94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ht="12.0" customHeight="1">
      <c r="A473" s="83"/>
      <c r="B473" s="94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ht="12.0" customHeight="1">
      <c r="A474" s="83"/>
      <c r="B474" s="94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ht="12.0" customHeight="1">
      <c r="A475" s="83"/>
      <c r="B475" s="94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ht="12.0" customHeight="1">
      <c r="A476" s="83"/>
      <c r="B476" s="94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ht="12.0" customHeight="1">
      <c r="A477" s="83"/>
      <c r="B477" s="94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ht="12.0" customHeight="1">
      <c r="A478" s="83"/>
      <c r="B478" s="94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ht="12.0" customHeight="1">
      <c r="A479" s="83"/>
      <c r="B479" s="94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ht="12.0" customHeight="1">
      <c r="A480" s="83"/>
      <c r="B480" s="94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ht="12.0" customHeight="1">
      <c r="A481" s="83"/>
      <c r="B481" s="94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ht="12.0" customHeight="1">
      <c r="A482" s="83"/>
      <c r="B482" s="94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ht="12.0" customHeight="1">
      <c r="A483" s="83"/>
      <c r="B483" s="94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ht="12.0" customHeight="1">
      <c r="A484" s="83"/>
      <c r="B484" s="94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ht="12.0" customHeight="1">
      <c r="A485" s="83"/>
      <c r="B485" s="94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ht="12.0" customHeight="1">
      <c r="A486" s="83"/>
      <c r="B486" s="94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ht="12.0" customHeight="1">
      <c r="A487" s="83"/>
      <c r="B487" s="94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ht="12.0" customHeight="1">
      <c r="A488" s="83"/>
      <c r="B488" s="94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ht="12.0" customHeight="1">
      <c r="A489" s="83"/>
      <c r="B489" s="94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ht="12.0" customHeight="1">
      <c r="A490" s="83"/>
      <c r="B490" s="94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ht="12.0" customHeight="1">
      <c r="A491" s="83"/>
      <c r="B491" s="94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ht="12.0" customHeight="1">
      <c r="A492" s="83"/>
      <c r="B492" s="94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ht="12.0" customHeight="1">
      <c r="A493" s="83"/>
      <c r="B493" s="94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ht="12.0" customHeight="1">
      <c r="A494" s="83"/>
      <c r="B494" s="94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ht="12.0" customHeight="1">
      <c r="A495" s="83"/>
      <c r="B495" s="94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ht="12.0" customHeight="1">
      <c r="A496" s="83"/>
      <c r="B496" s="94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ht="12.0" customHeight="1">
      <c r="A497" s="83"/>
      <c r="B497" s="94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ht="12.0" customHeight="1">
      <c r="A498" s="83"/>
      <c r="B498" s="94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ht="12.0" customHeight="1">
      <c r="A499" s="83"/>
      <c r="B499" s="94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ht="12.0" customHeight="1">
      <c r="A500" s="83"/>
      <c r="B500" s="94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ht="12.0" customHeight="1">
      <c r="A501" s="83"/>
      <c r="B501" s="94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ht="12.0" customHeight="1">
      <c r="A502" s="83"/>
      <c r="B502" s="94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ht="12.0" customHeight="1">
      <c r="A503" s="83"/>
      <c r="B503" s="94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ht="12.0" customHeight="1">
      <c r="A504" s="83"/>
      <c r="B504" s="94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ht="12.0" customHeight="1">
      <c r="A505" s="83"/>
      <c r="B505" s="94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ht="12.0" customHeight="1">
      <c r="A506" s="83"/>
      <c r="B506" s="94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ht="12.0" customHeight="1">
      <c r="A507" s="83"/>
      <c r="B507" s="94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ht="12.0" customHeight="1">
      <c r="A508" s="83"/>
      <c r="B508" s="94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ht="12.0" customHeight="1">
      <c r="A509" s="83"/>
      <c r="B509" s="94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ht="12.0" customHeight="1">
      <c r="A510" s="83"/>
      <c r="B510" s="94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ht="12.0" customHeight="1">
      <c r="A511" s="83"/>
      <c r="B511" s="94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ht="12.0" customHeight="1">
      <c r="A512" s="83"/>
      <c r="B512" s="94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ht="12.0" customHeight="1">
      <c r="A513" s="83"/>
      <c r="B513" s="94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ht="12.0" customHeight="1">
      <c r="A514" s="83"/>
      <c r="B514" s="94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ht="12.0" customHeight="1">
      <c r="A515" s="83"/>
      <c r="B515" s="94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ht="12.0" customHeight="1">
      <c r="A516" s="83"/>
      <c r="B516" s="94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ht="12.0" customHeight="1">
      <c r="A517" s="83"/>
      <c r="B517" s="94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ht="12.0" customHeight="1">
      <c r="A518" s="83"/>
      <c r="B518" s="94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ht="12.0" customHeight="1">
      <c r="A519" s="83"/>
      <c r="B519" s="94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ht="12.0" customHeight="1">
      <c r="A520" s="83"/>
      <c r="B520" s="94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ht="12.0" customHeight="1">
      <c r="A521" s="83"/>
      <c r="B521" s="94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ht="12.0" customHeight="1">
      <c r="A522" s="83"/>
      <c r="B522" s="94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ht="12.0" customHeight="1">
      <c r="A523" s="83"/>
      <c r="B523" s="94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ht="12.0" customHeight="1">
      <c r="A524" s="83"/>
      <c r="B524" s="94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ht="12.0" customHeight="1">
      <c r="A525" s="83"/>
      <c r="B525" s="94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ht="12.0" customHeight="1">
      <c r="A526" s="83"/>
      <c r="B526" s="94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ht="12.0" customHeight="1">
      <c r="A527" s="83"/>
      <c r="B527" s="94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ht="12.0" customHeight="1">
      <c r="A528" s="83"/>
      <c r="B528" s="94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ht="12.0" customHeight="1">
      <c r="A529" s="83"/>
      <c r="B529" s="94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ht="12.0" customHeight="1">
      <c r="A530" s="83"/>
      <c r="B530" s="94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ht="12.0" customHeight="1">
      <c r="A531" s="83"/>
      <c r="B531" s="94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ht="12.0" customHeight="1">
      <c r="A532" s="83"/>
      <c r="B532" s="94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ht="12.0" customHeight="1">
      <c r="A533" s="83"/>
      <c r="B533" s="94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ht="12.0" customHeight="1">
      <c r="A534" s="83"/>
      <c r="B534" s="94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ht="12.0" customHeight="1">
      <c r="A535" s="83"/>
      <c r="B535" s="94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ht="12.0" customHeight="1">
      <c r="A536" s="83"/>
      <c r="B536" s="94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ht="12.0" customHeight="1">
      <c r="A537" s="83"/>
      <c r="B537" s="94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ht="12.0" customHeight="1">
      <c r="A538" s="83"/>
      <c r="B538" s="94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ht="12.0" customHeight="1">
      <c r="A539" s="83"/>
      <c r="B539" s="94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ht="12.0" customHeight="1">
      <c r="A540" s="83"/>
      <c r="B540" s="94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ht="12.0" customHeight="1">
      <c r="A541" s="83"/>
      <c r="B541" s="94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ht="12.0" customHeight="1">
      <c r="A542" s="83"/>
      <c r="B542" s="94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ht="12.0" customHeight="1">
      <c r="A543" s="83"/>
      <c r="B543" s="94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ht="12.0" customHeight="1">
      <c r="A544" s="83"/>
      <c r="B544" s="94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ht="12.0" customHeight="1">
      <c r="A545" s="83"/>
      <c r="B545" s="94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ht="12.0" customHeight="1">
      <c r="A546" s="83"/>
      <c r="B546" s="94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ht="12.0" customHeight="1">
      <c r="A547" s="83"/>
      <c r="B547" s="94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ht="12.0" customHeight="1">
      <c r="A548" s="83"/>
      <c r="B548" s="94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ht="12.0" customHeight="1">
      <c r="A549" s="83"/>
      <c r="B549" s="94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ht="12.0" customHeight="1">
      <c r="A550" s="83"/>
      <c r="B550" s="94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ht="12.0" customHeight="1">
      <c r="A551" s="83"/>
      <c r="B551" s="94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ht="12.0" customHeight="1">
      <c r="A552" s="83"/>
      <c r="B552" s="94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ht="12.0" customHeight="1">
      <c r="A553" s="83"/>
      <c r="B553" s="94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ht="12.0" customHeight="1">
      <c r="A554" s="83"/>
      <c r="B554" s="94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ht="12.0" customHeight="1">
      <c r="A555" s="83"/>
      <c r="B555" s="94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ht="12.0" customHeight="1">
      <c r="A556" s="83"/>
      <c r="B556" s="94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ht="12.0" customHeight="1">
      <c r="A557" s="83"/>
      <c r="B557" s="94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ht="12.0" customHeight="1">
      <c r="A558" s="83"/>
      <c r="B558" s="94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ht="12.0" customHeight="1">
      <c r="A559" s="83"/>
      <c r="B559" s="94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ht="12.0" customHeight="1">
      <c r="A560" s="83"/>
      <c r="B560" s="94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ht="12.0" customHeight="1">
      <c r="A561" s="83"/>
      <c r="B561" s="94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ht="12.0" customHeight="1">
      <c r="A562" s="83"/>
      <c r="B562" s="94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ht="12.0" customHeight="1">
      <c r="A563" s="83"/>
      <c r="B563" s="94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ht="12.0" customHeight="1">
      <c r="A564" s="83"/>
      <c r="B564" s="94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ht="12.0" customHeight="1">
      <c r="A565" s="83"/>
      <c r="B565" s="94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ht="12.0" customHeight="1">
      <c r="A566" s="83"/>
      <c r="B566" s="94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ht="12.0" customHeight="1">
      <c r="A567" s="83"/>
      <c r="B567" s="94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ht="12.0" customHeight="1">
      <c r="A568" s="83"/>
      <c r="B568" s="94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ht="12.0" customHeight="1">
      <c r="A569" s="83"/>
      <c r="B569" s="94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ht="12.0" customHeight="1">
      <c r="A570" s="83"/>
      <c r="B570" s="94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ht="12.0" customHeight="1">
      <c r="A571" s="83"/>
      <c r="B571" s="94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ht="12.0" customHeight="1">
      <c r="A572" s="83"/>
      <c r="B572" s="94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ht="12.0" customHeight="1">
      <c r="A573" s="83"/>
      <c r="B573" s="94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ht="12.0" customHeight="1">
      <c r="A574" s="83"/>
      <c r="B574" s="94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ht="12.0" customHeight="1">
      <c r="A575" s="83"/>
      <c r="B575" s="94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ht="12.0" customHeight="1">
      <c r="A576" s="83"/>
      <c r="B576" s="94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ht="12.0" customHeight="1">
      <c r="A577" s="83"/>
      <c r="B577" s="94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ht="12.0" customHeight="1">
      <c r="A578" s="83"/>
      <c r="B578" s="94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ht="12.0" customHeight="1">
      <c r="A579" s="83"/>
      <c r="B579" s="94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ht="12.0" customHeight="1">
      <c r="A580" s="83"/>
      <c r="B580" s="94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ht="12.0" customHeight="1">
      <c r="A581" s="83"/>
      <c r="B581" s="94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ht="12.0" customHeight="1">
      <c r="A582" s="83"/>
      <c r="B582" s="94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ht="12.0" customHeight="1">
      <c r="A583" s="83"/>
      <c r="B583" s="94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ht="12.0" customHeight="1">
      <c r="A584" s="83"/>
      <c r="B584" s="94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ht="12.0" customHeight="1">
      <c r="A585" s="83"/>
      <c r="B585" s="94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ht="12.0" customHeight="1">
      <c r="A586" s="83"/>
      <c r="B586" s="94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ht="12.0" customHeight="1">
      <c r="A587" s="83"/>
      <c r="B587" s="94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ht="12.0" customHeight="1">
      <c r="A588" s="83"/>
      <c r="B588" s="94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ht="12.0" customHeight="1">
      <c r="A589" s="83"/>
      <c r="B589" s="94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ht="12.0" customHeight="1">
      <c r="A590" s="83"/>
      <c r="B590" s="94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ht="12.0" customHeight="1">
      <c r="A591" s="83"/>
      <c r="B591" s="94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ht="12.0" customHeight="1">
      <c r="A592" s="83"/>
      <c r="B592" s="94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ht="12.0" customHeight="1">
      <c r="A593" s="83"/>
      <c r="B593" s="94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ht="12.0" customHeight="1">
      <c r="A594" s="83"/>
      <c r="B594" s="94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ht="12.0" customHeight="1">
      <c r="A595" s="83"/>
      <c r="B595" s="94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ht="12.0" customHeight="1">
      <c r="A596" s="83"/>
      <c r="B596" s="94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ht="12.0" customHeight="1">
      <c r="A597" s="83"/>
      <c r="B597" s="94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ht="12.0" customHeight="1">
      <c r="A598" s="83"/>
      <c r="B598" s="94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ht="12.0" customHeight="1">
      <c r="A599" s="83"/>
      <c r="B599" s="94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ht="12.0" customHeight="1">
      <c r="A600" s="83"/>
      <c r="B600" s="94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ht="12.0" customHeight="1">
      <c r="A601" s="83"/>
      <c r="B601" s="94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ht="12.0" customHeight="1">
      <c r="A602" s="83"/>
      <c r="B602" s="94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ht="12.0" customHeight="1">
      <c r="A603" s="83"/>
      <c r="B603" s="94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ht="12.0" customHeight="1">
      <c r="A604" s="83"/>
      <c r="B604" s="94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ht="12.0" customHeight="1">
      <c r="A605" s="83"/>
      <c r="B605" s="94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ht="12.0" customHeight="1">
      <c r="A606" s="83"/>
      <c r="B606" s="94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ht="12.0" customHeight="1">
      <c r="A607" s="83"/>
      <c r="B607" s="94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ht="12.0" customHeight="1">
      <c r="A608" s="83"/>
      <c r="B608" s="94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ht="12.0" customHeight="1">
      <c r="A609" s="83"/>
      <c r="B609" s="94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ht="12.0" customHeight="1">
      <c r="A610" s="83"/>
      <c r="B610" s="94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ht="12.0" customHeight="1">
      <c r="A611" s="83"/>
      <c r="B611" s="94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ht="12.0" customHeight="1">
      <c r="A612" s="83"/>
      <c r="B612" s="94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ht="12.0" customHeight="1">
      <c r="A613" s="83"/>
      <c r="B613" s="94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ht="12.0" customHeight="1">
      <c r="A614" s="83"/>
      <c r="B614" s="94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ht="12.0" customHeight="1">
      <c r="A615" s="83"/>
      <c r="B615" s="94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ht="12.0" customHeight="1">
      <c r="A616" s="83"/>
      <c r="B616" s="94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ht="12.0" customHeight="1">
      <c r="A617" s="83"/>
      <c r="B617" s="94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ht="12.0" customHeight="1">
      <c r="A618" s="83"/>
      <c r="B618" s="94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ht="12.0" customHeight="1">
      <c r="A619" s="83"/>
      <c r="B619" s="94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ht="12.0" customHeight="1">
      <c r="A620" s="83"/>
      <c r="B620" s="94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ht="12.0" customHeight="1">
      <c r="A621" s="83"/>
      <c r="B621" s="94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ht="12.0" customHeight="1">
      <c r="A622" s="83"/>
      <c r="B622" s="94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ht="12.0" customHeight="1">
      <c r="A623" s="83"/>
      <c r="B623" s="94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ht="12.0" customHeight="1">
      <c r="A624" s="83"/>
      <c r="B624" s="94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ht="12.0" customHeight="1">
      <c r="A625" s="83"/>
      <c r="B625" s="94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ht="12.0" customHeight="1">
      <c r="A626" s="83"/>
      <c r="B626" s="94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ht="12.0" customHeight="1">
      <c r="A627" s="83"/>
      <c r="B627" s="94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ht="12.0" customHeight="1">
      <c r="A628" s="83"/>
      <c r="B628" s="94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ht="12.0" customHeight="1">
      <c r="A629" s="83"/>
      <c r="B629" s="94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ht="12.0" customHeight="1">
      <c r="A630" s="83"/>
      <c r="B630" s="94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ht="12.0" customHeight="1">
      <c r="A631" s="83"/>
      <c r="B631" s="94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ht="12.0" customHeight="1">
      <c r="A632" s="83"/>
      <c r="B632" s="94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ht="12.0" customHeight="1">
      <c r="A633" s="83"/>
      <c r="B633" s="94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ht="12.0" customHeight="1">
      <c r="A634" s="83"/>
      <c r="B634" s="94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ht="12.0" customHeight="1">
      <c r="A635" s="83"/>
      <c r="B635" s="94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ht="12.0" customHeight="1">
      <c r="A636" s="83"/>
      <c r="B636" s="94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ht="12.0" customHeight="1">
      <c r="A637" s="83"/>
      <c r="B637" s="94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ht="12.0" customHeight="1">
      <c r="A638" s="83"/>
      <c r="B638" s="94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ht="12.0" customHeight="1">
      <c r="A639" s="83"/>
      <c r="B639" s="94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ht="12.0" customHeight="1">
      <c r="A640" s="83"/>
      <c r="B640" s="94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ht="12.0" customHeight="1">
      <c r="A641" s="83"/>
      <c r="B641" s="94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ht="12.0" customHeight="1">
      <c r="A642" s="83"/>
      <c r="B642" s="94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ht="12.0" customHeight="1">
      <c r="A643" s="83"/>
      <c r="B643" s="94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ht="12.0" customHeight="1">
      <c r="A644" s="83"/>
      <c r="B644" s="94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ht="12.0" customHeight="1">
      <c r="A645" s="83"/>
      <c r="B645" s="94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ht="12.0" customHeight="1">
      <c r="A646" s="83"/>
      <c r="B646" s="94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ht="12.0" customHeight="1">
      <c r="A647" s="83"/>
      <c r="B647" s="94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ht="12.0" customHeight="1">
      <c r="A648" s="83"/>
      <c r="B648" s="94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ht="12.0" customHeight="1">
      <c r="A649" s="83"/>
      <c r="B649" s="94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ht="12.0" customHeight="1">
      <c r="A650" s="83"/>
      <c r="B650" s="94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ht="12.0" customHeight="1">
      <c r="A651" s="83"/>
      <c r="B651" s="94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ht="12.0" customHeight="1">
      <c r="A652" s="83"/>
      <c r="B652" s="94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ht="12.0" customHeight="1">
      <c r="A653" s="83"/>
      <c r="B653" s="94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ht="12.0" customHeight="1">
      <c r="A654" s="83"/>
      <c r="B654" s="94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ht="12.0" customHeight="1">
      <c r="A655" s="83"/>
      <c r="B655" s="94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ht="12.0" customHeight="1">
      <c r="A656" s="83"/>
      <c r="B656" s="94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ht="12.0" customHeight="1">
      <c r="A657" s="83"/>
      <c r="B657" s="94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ht="12.0" customHeight="1">
      <c r="A658" s="83"/>
      <c r="B658" s="94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ht="12.0" customHeight="1">
      <c r="A659" s="83"/>
      <c r="B659" s="94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ht="12.0" customHeight="1">
      <c r="A660" s="83"/>
      <c r="B660" s="94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ht="12.0" customHeight="1">
      <c r="A661" s="83"/>
      <c r="B661" s="94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ht="12.0" customHeight="1">
      <c r="A662" s="83"/>
      <c r="B662" s="94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ht="12.0" customHeight="1">
      <c r="A663" s="83"/>
      <c r="B663" s="94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ht="12.0" customHeight="1">
      <c r="A664" s="83"/>
      <c r="B664" s="94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ht="12.0" customHeight="1">
      <c r="A665" s="83"/>
      <c r="B665" s="94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ht="12.0" customHeight="1">
      <c r="A666" s="83"/>
      <c r="B666" s="94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ht="12.0" customHeight="1">
      <c r="A667" s="83"/>
      <c r="B667" s="94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ht="12.0" customHeight="1">
      <c r="A668" s="83"/>
      <c r="B668" s="94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ht="12.0" customHeight="1">
      <c r="A669" s="83"/>
      <c r="B669" s="94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ht="12.0" customHeight="1">
      <c r="A670" s="83"/>
      <c r="B670" s="94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ht="12.0" customHeight="1">
      <c r="A671" s="83"/>
      <c r="B671" s="94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ht="12.0" customHeight="1">
      <c r="A672" s="83"/>
      <c r="B672" s="94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ht="12.0" customHeight="1">
      <c r="A673" s="83"/>
      <c r="B673" s="94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ht="12.0" customHeight="1">
      <c r="A674" s="83"/>
      <c r="B674" s="94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ht="12.0" customHeight="1">
      <c r="A675" s="83"/>
      <c r="B675" s="94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ht="12.0" customHeight="1">
      <c r="A676" s="83"/>
      <c r="B676" s="94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ht="12.0" customHeight="1">
      <c r="A677" s="83"/>
      <c r="B677" s="94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ht="12.0" customHeight="1">
      <c r="A678" s="83"/>
      <c r="B678" s="94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ht="12.0" customHeight="1">
      <c r="A679" s="83"/>
      <c r="B679" s="94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ht="12.0" customHeight="1">
      <c r="A680" s="83"/>
      <c r="B680" s="94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ht="12.0" customHeight="1">
      <c r="A681" s="83"/>
      <c r="B681" s="94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ht="12.0" customHeight="1">
      <c r="A682" s="83"/>
      <c r="B682" s="94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ht="12.0" customHeight="1">
      <c r="A683" s="83"/>
      <c r="B683" s="94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ht="12.0" customHeight="1">
      <c r="A684" s="83"/>
      <c r="B684" s="94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ht="12.0" customHeight="1">
      <c r="A685" s="83"/>
      <c r="B685" s="94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ht="12.0" customHeight="1">
      <c r="A686" s="83"/>
      <c r="B686" s="94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ht="12.0" customHeight="1">
      <c r="A687" s="83"/>
      <c r="B687" s="94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ht="12.0" customHeight="1">
      <c r="A688" s="83"/>
      <c r="B688" s="94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ht="12.0" customHeight="1">
      <c r="A689" s="83"/>
      <c r="B689" s="94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ht="12.0" customHeight="1">
      <c r="A690" s="83"/>
      <c r="B690" s="94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ht="12.0" customHeight="1">
      <c r="A691" s="83"/>
      <c r="B691" s="94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ht="12.0" customHeight="1">
      <c r="A692" s="83"/>
      <c r="B692" s="94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ht="12.0" customHeight="1">
      <c r="A693" s="83"/>
      <c r="B693" s="94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ht="12.0" customHeight="1">
      <c r="A694" s="83"/>
      <c r="B694" s="94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ht="12.0" customHeight="1">
      <c r="A695" s="83"/>
      <c r="B695" s="94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ht="12.0" customHeight="1">
      <c r="A696" s="83"/>
      <c r="B696" s="94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ht="12.0" customHeight="1">
      <c r="A697" s="83"/>
      <c r="B697" s="94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ht="12.0" customHeight="1">
      <c r="A698" s="83"/>
      <c r="B698" s="94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ht="12.0" customHeight="1">
      <c r="A699" s="83"/>
      <c r="B699" s="94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ht="12.0" customHeight="1">
      <c r="A700" s="83"/>
      <c r="B700" s="94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ht="12.0" customHeight="1">
      <c r="A701" s="83"/>
      <c r="B701" s="94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ht="12.0" customHeight="1">
      <c r="A702" s="83"/>
      <c r="B702" s="94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ht="12.0" customHeight="1">
      <c r="A703" s="83"/>
      <c r="B703" s="94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ht="12.0" customHeight="1">
      <c r="A704" s="83"/>
      <c r="B704" s="94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ht="12.0" customHeight="1">
      <c r="A705" s="83"/>
      <c r="B705" s="94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ht="12.0" customHeight="1">
      <c r="A706" s="83"/>
      <c r="B706" s="94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ht="12.0" customHeight="1">
      <c r="A707" s="83"/>
      <c r="B707" s="94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ht="12.0" customHeight="1">
      <c r="A708" s="83"/>
      <c r="B708" s="94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ht="12.0" customHeight="1">
      <c r="A709" s="83"/>
      <c r="B709" s="94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ht="12.0" customHeight="1">
      <c r="A710" s="83"/>
      <c r="B710" s="94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ht="12.0" customHeight="1">
      <c r="A711" s="83"/>
      <c r="B711" s="94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ht="12.0" customHeight="1">
      <c r="A712" s="83"/>
      <c r="B712" s="94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ht="12.0" customHeight="1">
      <c r="A713" s="83"/>
      <c r="B713" s="94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ht="12.0" customHeight="1">
      <c r="A714" s="83"/>
      <c r="B714" s="94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ht="12.0" customHeight="1">
      <c r="A715" s="83"/>
      <c r="B715" s="94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ht="12.0" customHeight="1">
      <c r="A716" s="83"/>
      <c r="B716" s="94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ht="12.0" customHeight="1">
      <c r="A717" s="83"/>
      <c r="B717" s="94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ht="12.0" customHeight="1">
      <c r="A718" s="83"/>
      <c r="B718" s="94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ht="12.0" customHeight="1">
      <c r="A719" s="83"/>
      <c r="B719" s="94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ht="12.0" customHeight="1">
      <c r="A720" s="83"/>
      <c r="B720" s="94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ht="12.0" customHeight="1">
      <c r="A721" s="83"/>
      <c r="B721" s="94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ht="12.0" customHeight="1">
      <c r="A722" s="83"/>
      <c r="B722" s="94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ht="12.0" customHeight="1">
      <c r="A723" s="83"/>
      <c r="B723" s="94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ht="12.0" customHeight="1">
      <c r="A724" s="83"/>
      <c r="B724" s="94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ht="12.0" customHeight="1">
      <c r="A725" s="83"/>
      <c r="B725" s="94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ht="12.0" customHeight="1">
      <c r="A726" s="83"/>
      <c r="B726" s="94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ht="12.0" customHeight="1">
      <c r="A727" s="83"/>
      <c r="B727" s="94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ht="12.0" customHeight="1">
      <c r="A728" s="83"/>
      <c r="B728" s="94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ht="12.0" customHeight="1">
      <c r="A729" s="83"/>
      <c r="B729" s="94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ht="12.0" customHeight="1">
      <c r="A730" s="83"/>
      <c r="B730" s="94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ht="12.0" customHeight="1">
      <c r="A731" s="83"/>
      <c r="B731" s="94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ht="12.0" customHeight="1">
      <c r="A732" s="83"/>
      <c r="B732" s="94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ht="12.0" customHeight="1">
      <c r="A733" s="83"/>
      <c r="B733" s="94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ht="12.0" customHeight="1">
      <c r="A734" s="83"/>
      <c r="B734" s="94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ht="12.0" customHeight="1">
      <c r="A735" s="83"/>
      <c r="B735" s="94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ht="12.0" customHeight="1">
      <c r="A736" s="83"/>
      <c r="B736" s="94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ht="12.0" customHeight="1">
      <c r="A737" s="83"/>
      <c r="B737" s="94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ht="12.0" customHeight="1">
      <c r="A738" s="83"/>
      <c r="B738" s="94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ht="12.0" customHeight="1">
      <c r="A739" s="83"/>
      <c r="B739" s="94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ht="12.0" customHeight="1">
      <c r="A740" s="83"/>
      <c r="B740" s="94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ht="12.0" customHeight="1">
      <c r="A741" s="83"/>
      <c r="B741" s="94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ht="12.0" customHeight="1">
      <c r="A742" s="83"/>
      <c r="B742" s="94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ht="12.0" customHeight="1">
      <c r="A743" s="83"/>
      <c r="B743" s="94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ht="12.0" customHeight="1">
      <c r="A744" s="83"/>
      <c r="B744" s="94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ht="12.0" customHeight="1">
      <c r="A745" s="83"/>
      <c r="B745" s="94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ht="12.0" customHeight="1">
      <c r="A746" s="83"/>
      <c r="B746" s="94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ht="12.0" customHeight="1">
      <c r="A747" s="83"/>
      <c r="B747" s="94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ht="12.0" customHeight="1">
      <c r="A748" s="83"/>
      <c r="B748" s="94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ht="12.0" customHeight="1">
      <c r="A749" s="83"/>
      <c r="B749" s="94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ht="12.0" customHeight="1">
      <c r="A750" s="83"/>
      <c r="B750" s="94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ht="12.0" customHeight="1">
      <c r="A751" s="83"/>
      <c r="B751" s="94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ht="12.0" customHeight="1">
      <c r="A752" s="83"/>
      <c r="B752" s="94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ht="12.0" customHeight="1">
      <c r="A753" s="83"/>
      <c r="B753" s="94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ht="12.0" customHeight="1">
      <c r="A754" s="83"/>
      <c r="B754" s="94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ht="12.0" customHeight="1">
      <c r="A755" s="83"/>
      <c r="B755" s="94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ht="12.0" customHeight="1">
      <c r="A756" s="83"/>
      <c r="B756" s="94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ht="12.0" customHeight="1">
      <c r="A757" s="83"/>
      <c r="B757" s="94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ht="12.0" customHeight="1">
      <c r="A758" s="83"/>
      <c r="B758" s="94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ht="12.0" customHeight="1">
      <c r="A759" s="83"/>
      <c r="B759" s="94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ht="12.0" customHeight="1">
      <c r="A760" s="83"/>
      <c r="B760" s="94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ht="12.0" customHeight="1">
      <c r="A761" s="83"/>
      <c r="B761" s="94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ht="12.0" customHeight="1">
      <c r="A762" s="83"/>
      <c r="B762" s="94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ht="12.0" customHeight="1">
      <c r="A763" s="83"/>
      <c r="B763" s="94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ht="12.0" customHeight="1">
      <c r="A764" s="83"/>
      <c r="B764" s="94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ht="12.0" customHeight="1">
      <c r="A765" s="83"/>
      <c r="B765" s="94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ht="12.0" customHeight="1">
      <c r="A766" s="83"/>
      <c r="B766" s="94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ht="12.0" customHeight="1">
      <c r="A767" s="83"/>
      <c r="B767" s="94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ht="12.0" customHeight="1">
      <c r="A768" s="83"/>
      <c r="B768" s="94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ht="12.0" customHeight="1">
      <c r="A769" s="83"/>
      <c r="B769" s="94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ht="12.0" customHeight="1">
      <c r="A770" s="83"/>
      <c r="B770" s="94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ht="12.0" customHeight="1">
      <c r="A771" s="83"/>
      <c r="B771" s="94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ht="12.0" customHeight="1">
      <c r="A772" s="83"/>
      <c r="B772" s="94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ht="12.0" customHeight="1">
      <c r="A773" s="83"/>
      <c r="B773" s="94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ht="12.0" customHeight="1">
      <c r="A774" s="83"/>
      <c r="B774" s="94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ht="12.0" customHeight="1">
      <c r="A775" s="83"/>
      <c r="B775" s="94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ht="12.0" customHeight="1">
      <c r="A776" s="83"/>
      <c r="B776" s="94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ht="12.0" customHeight="1">
      <c r="A777" s="83"/>
      <c r="B777" s="94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ht="12.0" customHeight="1">
      <c r="A778" s="83"/>
      <c r="B778" s="94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ht="12.0" customHeight="1">
      <c r="A779" s="83"/>
      <c r="B779" s="94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ht="12.0" customHeight="1">
      <c r="A780" s="83"/>
      <c r="B780" s="94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ht="12.0" customHeight="1">
      <c r="A781" s="83"/>
      <c r="B781" s="94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ht="12.0" customHeight="1">
      <c r="A782" s="83"/>
      <c r="B782" s="94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ht="12.0" customHeight="1">
      <c r="A783" s="83"/>
      <c r="B783" s="94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ht="12.0" customHeight="1">
      <c r="A784" s="83"/>
      <c r="B784" s="94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ht="12.0" customHeight="1">
      <c r="A785" s="83"/>
      <c r="B785" s="94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ht="12.0" customHeight="1">
      <c r="A786" s="83"/>
      <c r="B786" s="94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ht="12.0" customHeight="1">
      <c r="A787" s="83"/>
      <c r="B787" s="94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ht="12.0" customHeight="1">
      <c r="A788" s="83"/>
      <c r="B788" s="94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ht="12.0" customHeight="1">
      <c r="A789" s="83"/>
      <c r="B789" s="94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ht="12.0" customHeight="1">
      <c r="A790" s="83"/>
      <c r="B790" s="94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ht="12.0" customHeight="1">
      <c r="A791" s="83"/>
      <c r="B791" s="94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ht="12.0" customHeight="1">
      <c r="A792" s="83"/>
      <c r="B792" s="94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ht="12.0" customHeight="1">
      <c r="A793" s="83"/>
      <c r="B793" s="94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ht="12.0" customHeight="1">
      <c r="A794" s="83"/>
      <c r="B794" s="94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ht="12.0" customHeight="1">
      <c r="A795" s="83"/>
      <c r="B795" s="94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ht="12.0" customHeight="1">
      <c r="A796" s="83"/>
      <c r="B796" s="94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ht="12.0" customHeight="1">
      <c r="A797" s="83"/>
      <c r="B797" s="94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ht="12.0" customHeight="1">
      <c r="A798" s="83"/>
      <c r="B798" s="94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ht="12.0" customHeight="1">
      <c r="A799" s="83"/>
      <c r="B799" s="94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ht="12.0" customHeight="1">
      <c r="A800" s="83"/>
      <c r="B800" s="94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ht="12.0" customHeight="1">
      <c r="A801" s="83"/>
      <c r="B801" s="94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ht="12.0" customHeight="1">
      <c r="A802" s="83"/>
      <c r="B802" s="94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ht="12.0" customHeight="1">
      <c r="A803" s="83"/>
      <c r="B803" s="94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ht="12.0" customHeight="1">
      <c r="A804" s="83"/>
      <c r="B804" s="94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ht="12.0" customHeight="1">
      <c r="A805" s="83"/>
      <c r="B805" s="94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ht="12.0" customHeight="1">
      <c r="A806" s="83"/>
      <c r="B806" s="94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ht="12.0" customHeight="1">
      <c r="A807" s="83"/>
      <c r="B807" s="94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ht="12.0" customHeight="1">
      <c r="A808" s="83"/>
      <c r="B808" s="94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ht="12.0" customHeight="1">
      <c r="A809" s="83"/>
      <c r="B809" s="94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ht="12.0" customHeight="1">
      <c r="A810" s="83"/>
      <c r="B810" s="94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ht="12.0" customHeight="1">
      <c r="A811" s="83"/>
      <c r="B811" s="94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ht="12.0" customHeight="1">
      <c r="A812" s="83"/>
      <c r="B812" s="94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ht="12.0" customHeight="1">
      <c r="A813" s="83"/>
      <c r="B813" s="94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ht="12.0" customHeight="1">
      <c r="A814" s="83"/>
      <c r="B814" s="94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ht="12.0" customHeight="1">
      <c r="A815" s="83"/>
      <c r="B815" s="94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ht="12.0" customHeight="1">
      <c r="A816" s="83"/>
      <c r="B816" s="94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ht="12.0" customHeight="1">
      <c r="A817" s="83"/>
      <c r="B817" s="94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ht="12.0" customHeight="1">
      <c r="A818" s="83"/>
      <c r="B818" s="94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ht="12.0" customHeight="1">
      <c r="A819" s="83"/>
      <c r="B819" s="94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ht="12.0" customHeight="1">
      <c r="A820" s="83"/>
      <c r="B820" s="94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ht="12.0" customHeight="1">
      <c r="A821" s="83"/>
      <c r="B821" s="94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ht="12.0" customHeight="1">
      <c r="A822" s="83"/>
      <c r="B822" s="94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ht="12.0" customHeight="1">
      <c r="A823" s="83"/>
      <c r="B823" s="94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ht="12.0" customHeight="1">
      <c r="A824" s="83"/>
      <c r="B824" s="94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ht="12.0" customHeight="1">
      <c r="A825" s="83"/>
      <c r="B825" s="94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ht="12.0" customHeight="1">
      <c r="A826" s="83"/>
      <c r="B826" s="94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ht="12.0" customHeight="1">
      <c r="A827" s="83"/>
      <c r="B827" s="94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ht="12.0" customHeight="1">
      <c r="A828" s="83"/>
      <c r="B828" s="94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ht="12.0" customHeight="1">
      <c r="A829" s="83"/>
      <c r="B829" s="94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ht="12.0" customHeight="1">
      <c r="A830" s="83"/>
      <c r="B830" s="94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ht="12.0" customHeight="1">
      <c r="A831" s="83"/>
      <c r="B831" s="94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ht="12.0" customHeight="1">
      <c r="A832" s="83"/>
      <c r="B832" s="94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ht="12.0" customHeight="1">
      <c r="A833" s="83"/>
      <c r="B833" s="94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ht="12.0" customHeight="1">
      <c r="A834" s="83"/>
      <c r="B834" s="94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ht="12.0" customHeight="1">
      <c r="A835" s="83"/>
      <c r="B835" s="94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ht="12.0" customHeight="1">
      <c r="A836" s="83"/>
      <c r="B836" s="94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ht="12.0" customHeight="1">
      <c r="A837" s="83"/>
      <c r="B837" s="94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ht="12.0" customHeight="1">
      <c r="A838" s="83"/>
      <c r="B838" s="94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ht="12.0" customHeight="1">
      <c r="A839" s="83"/>
      <c r="B839" s="94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ht="12.0" customHeight="1">
      <c r="A840" s="83"/>
      <c r="B840" s="94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ht="12.0" customHeight="1">
      <c r="A841" s="83"/>
      <c r="B841" s="94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ht="12.0" customHeight="1">
      <c r="A842" s="83"/>
      <c r="B842" s="94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ht="12.0" customHeight="1">
      <c r="A843" s="83"/>
      <c r="B843" s="94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ht="12.0" customHeight="1">
      <c r="A844" s="83"/>
      <c r="B844" s="94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ht="12.0" customHeight="1">
      <c r="A845" s="83"/>
      <c r="B845" s="94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ht="12.0" customHeight="1">
      <c r="A846" s="83"/>
      <c r="B846" s="94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ht="12.0" customHeight="1">
      <c r="A847" s="83"/>
      <c r="B847" s="94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ht="12.0" customHeight="1">
      <c r="A848" s="83"/>
      <c r="B848" s="94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ht="12.0" customHeight="1">
      <c r="A849" s="83"/>
      <c r="B849" s="94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ht="12.0" customHeight="1">
      <c r="A850" s="83"/>
      <c r="B850" s="94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ht="12.0" customHeight="1">
      <c r="A851" s="83"/>
      <c r="B851" s="94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ht="12.0" customHeight="1">
      <c r="A852" s="83"/>
      <c r="B852" s="94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ht="12.0" customHeight="1">
      <c r="A853" s="83"/>
      <c r="B853" s="94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ht="12.0" customHeight="1">
      <c r="A854" s="83"/>
      <c r="B854" s="94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ht="12.0" customHeight="1">
      <c r="A855" s="83"/>
      <c r="B855" s="94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ht="12.0" customHeight="1">
      <c r="A856" s="83"/>
      <c r="B856" s="94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ht="12.0" customHeight="1">
      <c r="A857" s="83"/>
      <c r="B857" s="94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ht="12.0" customHeight="1">
      <c r="A858" s="83"/>
      <c r="B858" s="94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ht="12.0" customHeight="1">
      <c r="A859" s="83"/>
      <c r="B859" s="94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ht="12.0" customHeight="1">
      <c r="A860" s="83"/>
      <c r="B860" s="94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ht="12.0" customHeight="1">
      <c r="A861" s="83"/>
      <c r="B861" s="94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ht="12.0" customHeight="1">
      <c r="A862" s="83"/>
      <c r="B862" s="94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ht="12.0" customHeight="1">
      <c r="A863" s="83"/>
      <c r="B863" s="94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ht="12.0" customHeight="1">
      <c r="A864" s="83"/>
      <c r="B864" s="94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ht="12.0" customHeight="1">
      <c r="A865" s="83"/>
      <c r="B865" s="94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ht="12.0" customHeight="1">
      <c r="A866" s="83"/>
      <c r="B866" s="94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ht="12.0" customHeight="1">
      <c r="A867" s="83"/>
      <c r="B867" s="94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ht="12.0" customHeight="1">
      <c r="A868" s="83"/>
      <c r="B868" s="94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ht="12.0" customHeight="1">
      <c r="A869" s="83"/>
      <c r="B869" s="94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ht="12.0" customHeight="1">
      <c r="A870" s="83"/>
      <c r="B870" s="94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ht="12.0" customHeight="1">
      <c r="A871" s="83"/>
      <c r="B871" s="94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ht="12.0" customHeight="1">
      <c r="A872" s="83"/>
      <c r="B872" s="94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ht="12.0" customHeight="1">
      <c r="A873" s="83"/>
      <c r="B873" s="94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ht="12.0" customHeight="1">
      <c r="A874" s="83"/>
      <c r="B874" s="94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ht="12.0" customHeight="1">
      <c r="A875" s="83"/>
      <c r="B875" s="94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ht="12.0" customHeight="1">
      <c r="A876" s="83"/>
      <c r="B876" s="94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ht="12.0" customHeight="1">
      <c r="A877" s="83"/>
      <c r="B877" s="94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ht="12.0" customHeight="1">
      <c r="A878" s="83"/>
      <c r="B878" s="94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ht="12.0" customHeight="1">
      <c r="A879" s="83"/>
      <c r="B879" s="94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ht="12.0" customHeight="1">
      <c r="A880" s="83"/>
      <c r="B880" s="94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ht="12.0" customHeight="1">
      <c r="A881" s="83"/>
      <c r="B881" s="94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ht="12.0" customHeight="1">
      <c r="A882" s="83"/>
      <c r="B882" s="94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ht="12.0" customHeight="1">
      <c r="A883" s="83"/>
      <c r="B883" s="94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ht="12.0" customHeight="1">
      <c r="A884" s="83"/>
      <c r="B884" s="94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ht="12.0" customHeight="1">
      <c r="A885" s="83"/>
      <c r="B885" s="94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ht="12.0" customHeight="1">
      <c r="A886" s="83"/>
      <c r="B886" s="94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ht="12.0" customHeight="1">
      <c r="A887" s="83"/>
      <c r="B887" s="94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ht="12.0" customHeight="1">
      <c r="A888" s="83"/>
      <c r="B888" s="94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ht="12.0" customHeight="1">
      <c r="A889" s="83"/>
      <c r="B889" s="94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ht="12.0" customHeight="1">
      <c r="A890" s="83"/>
      <c r="B890" s="94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ht="12.0" customHeight="1">
      <c r="A891" s="83"/>
      <c r="B891" s="94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ht="12.0" customHeight="1">
      <c r="A892" s="83"/>
      <c r="B892" s="94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ht="12.0" customHeight="1">
      <c r="A893" s="83"/>
      <c r="B893" s="94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ht="12.0" customHeight="1">
      <c r="A894" s="83"/>
      <c r="B894" s="94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ht="12.0" customHeight="1">
      <c r="A895" s="83"/>
      <c r="B895" s="94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ht="12.0" customHeight="1">
      <c r="A896" s="83"/>
      <c r="B896" s="94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ht="12.0" customHeight="1">
      <c r="A897" s="83"/>
      <c r="B897" s="94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ht="12.0" customHeight="1">
      <c r="A898" s="83"/>
      <c r="B898" s="94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ht="12.0" customHeight="1">
      <c r="A899" s="83"/>
      <c r="B899" s="94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ht="12.0" customHeight="1">
      <c r="A900" s="83"/>
      <c r="B900" s="94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ht="12.0" customHeight="1">
      <c r="A901" s="83"/>
      <c r="B901" s="94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ht="12.0" customHeight="1">
      <c r="A902" s="83"/>
      <c r="B902" s="94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ht="12.0" customHeight="1">
      <c r="A903" s="83"/>
      <c r="B903" s="94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ht="12.0" customHeight="1">
      <c r="A904" s="83"/>
      <c r="B904" s="94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ht="12.0" customHeight="1">
      <c r="A905" s="83"/>
      <c r="B905" s="94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ht="12.0" customHeight="1">
      <c r="A906" s="83"/>
      <c r="B906" s="94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ht="12.0" customHeight="1">
      <c r="A907" s="83"/>
      <c r="B907" s="94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ht="12.0" customHeight="1">
      <c r="A908" s="83"/>
      <c r="B908" s="94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ht="12.0" customHeight="1">
      <c r="A909" s="83"/>
      <c r="B909" s="94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ht="12.0" customHeight="1">
      <c r="A910" s="83"/>
      <c r="B910" s="94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ht="12.0" customHeight="1">
      <c r="A911" s="83"/>
      <c r="B911" s="94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ht="12.0" customHeight="1">
      <c r="A912" s="83"/>
      <c r="B912" s="94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ht="12.0" customHeight="1">
      <c r="A913" s="83"/>
      <c r="B913" s="94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ht="12.0" customHeight="1">
      <c r="A914" s="83"/>
      <c r="B914" s="94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ht="12.0" customHeight="1">
      <c r="A915" s="83"/>
      <c r="B915" s="94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ht="12.0" customHeight="1">
      <c r="A916" s="83"/>
      <c r="B916" s="94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ht="12.0" customHeight="1">
      <c r="A917" s="83"/>
      <c r="B917" s="94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ht="12.0" customHeight="1">
      <c r="A918" s="83"/>
      <c r="B918" s="94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ht="12.0" customHeight="1">
      <c r="A919" s="83"/>
      <c r="B919" s="94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ht="12.0" customHeight="1">
      <c r="A920" s="83"/>
      <c r="B920" s="94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ht="12.0" customHeight="1">
      <c r="A921" s="83"/>
      <c r="B921" s="94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ht="12.0" customHeight="1">
      <c r="A922" s="83"/>
      <c r="B922" s="94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ht="12.0" customHeight="1">
      <c r="A923" s="83"/>
      <c r="B923" s="94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ht="12.0" customHeight="1">
      <c r="A924" s="83"/>
      <c r="B924" s="94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ht="12.0" customHeight="1">
      <c r="A925" s="83"/>
      <c r="B925" s="94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ht="12.0" customHeight="1">
      <c r="A926" s="83"/>
      <c r="B926" s="94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ht="12.0" customHeight="1">
      <c r="A927" s="83"/>
      <c r="B927" s="94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ht="12.0" customHeight="1">
      <c r="A928" s="83"/>
      <c r="B928" s="94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ht="12.0" customHeight="1">
      <c r="A929" s="83"/>
      <c r="B929" s="94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ht="12.0" customHeight="1">
      <c r="A930" s="83"/>
      <c r="B930" s="94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ht="12.0" customHeight="1">
      <c r="A931" s="83"/>
      <c r="B931" s="94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ht="12.0" customHeight="1">
      <c r="A932" s="83"/>
      <c r="B932" s="94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ht="12.0" customHeight="1">
      <c r="A933" s="83"/>
      <c r="B933" s="94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ht="12.0" customHeight="1">
      <c r="A934" s="83"/>
      <c r="B934" s="94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ht="12.0" customHeight="1">
      <c r="A935" s="83"/>
      <c r="B935" s="94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ht="12.0" customHeight="1">
      <c r="A936" s="83"/>
      <c r="B936" s="94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ht="12.0" customHeight="1">
      <c r="A937" s="83"/>
      <c r="B937" s="94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ht="12.0" customHeight="1">
      <c r="A938" s="83"/>
      <c r="B938" s="94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ht="12.0" customHeight="1">
      <c r="A939" s="83"/>
      <c r="B939" s="94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ht="12.0" customHeight="1">
      <c r="A940" s="83"/>
      <c r="B940" s="94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ht="12.0" customHeight="1">
      <c r="A941" s="83"/>
      <c r="B941" s="94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ht="12.0" customHeight="1">
      <c r="A942" s="83"/>
      <c r="B942" s="94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ht="12.0" customHeight="1">
      <c r="A943" s="83"/>
      <c r="B943" s="94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ht="12.0" customHeight="1">
      <c r="A944" s="83"/>
      <c r="B944" s="94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ht="12.0" customHeight="1">
      <c r="A945" s="83"/>
      <c r="B945" s="94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ht="12.0" customHeight="1">
      <c r="A946" s="83"/>
      <c r="B946" s="94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ht="12.0" customHeight="1">
      <c r="A947" s="83"/>
      <c r="B947" s="94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ht="12.0" customHeight="1">
      <c r="A948" s="83"/>
      <c r="B948" s="94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ht="12.0" customHeight="1">
      <c r="A949" s="83"/>
      <c r="B949" s="94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ht="12.0" customHeight="1">
      <c r="A950" s="83"/>
      <c r="B950" s="94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ht="12.0" customHeight="1">
      <c r="A951" s="83"/>
      <c r="B951" s="94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ht="12.0" customHeight="1">
      <c r="A952" s="83"/>
      <c r="B952" s="94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ht="12.0" customHeight="1">
      <c r="A953" s="83"/>
      <c r="B953" s="94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ht="12.0" customHeight="1">
      <c r="A954" s="83"/>
      <c r="B954" s="94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ht="12.0" customHeight="1">
      <c r="A955" s="83"/>
      <c r="B955" s="94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ht="12.0" customHeight="1">
      <c r="A956" s="83"/>
      <c r="B956" s="94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ht="12.0" customHeight="1">
      <c r="A957" s="83"/>
      <c r="B957" s="94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ht="12.0" customHeight="1">
      <c r="A958" s="83"/>
      <c r="B958" s="94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ht="12.0" customHeight="1">
      <c r="A959" s="83"/>
      <c r="B959" s="94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ht="12.0" customHeight="1">
      <c r="A960" s="83"/>
      <c r="B960" s="94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ht="12.0" customHeight="1">
      <c r="A961" s="83"/>
      <c r="B961" s="94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ht="12.0" customHeight="1">
      <c r="A962" s="83"/>
      <c r="B962" s="94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ht="12.0" customHeight="1">
      <c r="A963" s="83"/>
      <c r="B963" s="94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ht="12.0" customHeight="1">
      <c r="A964" s="83"/>
      <c r="B964" s="94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ht="12.0" customHeight="1">
      <c r="A965" s="83"/>
      <c r="B965" s="94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ht="12.0" customHeight="1">
      <c r="A966" s="83"/>
      <c r="B966" s="94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ht="12.0" customHeight="1">
      <c r="A967" s="83"/>
      <c r="B967" s="94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ht="12.0" customHeight="1">
      <c r="A968" s="83"/>
      <c r="B968" s="94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ht="12.0" customHeight="1">
      <c r="A969" s="83"/>
      <c r="B969" s="94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ht="12.0" customHeight="1">
      <c r="A970" s="83"/>
      <c r="B970" s="94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ht="12.0" customHeight="1">
      <c r="A971" s="83"/>
      <c r="B971" s="94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ht="12.0" customHeight="1">
      <c r="A972" s="83"/>
      <c r="B972" s="94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ht="12.0" customHeight="1">
      <c r="A973" s="83"/>
      <c r="B973" s="94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ht="12.0" customHeight="1">
      <c r="A974" s="83"/>
      <c r="B974" s="94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ht="12.0" customHeight="1">
      <c r="A975" s="83"/>
      <c r="B975" s="94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ht="12.0" customHeight="1">
      <c r="A976" s="83"/>
      <c r="B976" s="94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ht="12.0" customHeight="1">
      <c r="A977" s="83"/>
      <c r="B977" s="94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ht="12.0" customHeight="1">
      <c r="A978" s="83"/>
      <c r="B978" s="94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ht="12.0" customHeight="1">
      <c r="A979" s="83"/>
      <c r="B979" s="94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ht="12.0" customHeight="1">
      <c r="A980" s="83"/>
      <c r="B980" s="94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ht="12.0" customHeight="1">
      <c r="A981" s="83"/>
      <c r="B981" s="94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ht="12.0" customHeight="1">
      <c r="A982" s="83"/>
      <c r="B982" s="94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ht="12.0" customHeight="1">
      <c r="A983" s="83"/>
      <c r="B983" s="94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ht="12.0" customHeight="1">
      <c r="A984" s="83"/>
      <c r="B984" s="94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ht="12.0" customHeight="1">
      <c r="A985" s="83"/>
      <c r="B985" s="94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ht="12.0" customHeight="1">
      <c r="A986" s="83"/>
      <c r="B986" s="94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ht="12.0" customHeight="1">
      <c r="A987" s="83"/>
      <c r="B987" s="94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ht="12.0" customHeight="1">
      <c r="A988" s="83"/>
      <c r="B988" s="94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ht="12.0" customHeight="1">
      <c r="A989" s="83"/>
      <c r="B989" s="94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ht="12.0" customHeight="1">
      <c r="A990" s="83"/>
      <c r="B990" s="94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ht="12.0" customHeight="1">
      <c r="A991" s="83"/>
      <c r="B991" s="94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ht="12.0" customHeight="1">
      <c r="A992" s="83"/>
      <c r="B992" s="94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ht="12.0" customHeight="1">
      <c r="A993" s="83"/>
      <c r="B993" s="94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ht="12.0" customHeight="1">
      <c r="A994" s="83"/>
      <c r="B994" s="94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ht="12.0" customHeight="1">
      <c r="A995" s="83"/>
      <c r="B995" s="94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ht="12.0" customHeight="1">
      <c r="A996" s="83"/>
      <c r="B996" s="94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ht="12.0" customHeight="1">
      <c r="A997" s="83"/>
      <c r="B997" s="94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ht="12.0" customHeight="1">
      <c r="A998" s="83"/>
      <c r="B998" s="94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ht="12.0" customHeight="1">
      <c r="A999" s="83"/>
      <c r="B999" s="94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 ht="12.0" customHeight="1">
      <c r="A1000" s="83"/>
      <c r="B1000" s="94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</sheetData>
  <printOptions/>
  <pageMargins bottom="1.0" footer="0.0" header="0.0" left="0.75" right="0.75" top="1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F81BD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3.44"/>
    <col customWidth="1" min="3" max="3" width="11.11"/>
    <col customWidth="1" min="4" max="7" width="10.78"/>
    <col customWidth="1" min="8" max="8" width="4.11"/>
    <col customWidth="1" min="9" max="10" width="10.78"/>
    <col customWidth="1" min="11" max="11" width="13.44"/>
    <col customWidth="1" min="12" max="12" width="2.78"/>
    <col customWidth="1" min="13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5"/>
      <c r="I3" s="5"/>
      <c r="J3" s="5"/>
      <c r="K3" s="5"/>
      <c r="L3" s="7"/>
      <c r="M3" s="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8"/>
      <c r="I4" s="10" t="s">
        <v>7</v>
      </c>
      <c r="J4" s="10" t="s">
        <v>8</v>
      </c>
      <c r="K4" s="8"/>
      <c r="L4" s="11"/>
      <c r="M4" s="8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10</v>
      </c>
      <c r="D5" s="18">
        <f>VLOOKUP(C5,Specs,2,FALSE)</f>
        <v>5330</v>
      </c>
      <c r="E5" s="19">
        <f>VLOOKUP(C5,Specs,3,FALSE)</f>
        <v>2.41</v>
      </c>
      <c r="F5" s="19">
        <f>VLOOKUP(C5,Specs,4,FALSE)</f>
        <v>131</v>
      </c>
      <c r="G5" s="19">
        <f>VLOOKUP(C5,Specs,5,FALSE)</f>
        <v>2.7</v>
      </c>
      <c r="H5" s="13"/>
      <c r="I5" s="22">
        <v>0.81</v>
      </c>
      <c r="J5" s="22">
        <v>0.9</v>
      </c>
      <c r="K5" s="13"/>
      <c r="L5" s="20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1"/>
      <c r="I6" s="1"/>
      <c r="J6" s="1"/>
      <c r="K6" s="1"/>
      <c r="L6" s="23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0" t="s">
        <v>12</v>
      </c>
      <c r="D7" s="10" t="s">
        <v>13</v>
      </c>
      <c r="E7" s="13"/>
      <c r="F7" s="10" t="s">
        <v>14</v>
      </c>
      <c r="G7" s="10" t="s">
        <v>15</v>
      </c>
      <c r="H7" s="1"/>
      <c r="I7" s="24" t="s">
        <v>16</v>
      </c>
      <c r="J7" s="24" t="s">
        <v>17</v>
      </c>
      <c r="K7" s="2"/>
      <c r="L7" s="23"/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2.0</v>
      </c>
      <c r="D8" s="25">
        <v>2.0</v>
      </c>
      <c r="E8" s="1"/>
      <c r="F8" s="25">
        <v>154.0</v>
      </c>
      <c r="G8" s="22">
        <v>1.0</v>
      </c>
      <c r="H8" s="1"/>
      <c r="I8" s="25">
        <v>4.0</v>
      </c>
      <c r="J8" s="25">
        <v>1.1</v>
      </c>
      <c r="K8" s="2"/>
      <c r="L8" s="23"/>
      <c r="M8" s="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27"/>
      <c r="I9" s="29"/>
      <c r="J9" s="30"/>
      <c r="K9" s="30"/>
      <c r="L9" s="31"/>
      <c r="M9" s="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/>
      <c r="D10" s="32"/>
      <c r="E10" s="5"/>
      <c r="F10" s="5"/>
      <c r="G10" s="5"/>
      <c r="H10" s="5"/>
      <c r="I10" s="34"/>
      <c r="J10" s="36"/>
      <c r="K10" s="36"/>
      <c r="L10" s="7"/>
      <c r="M10" s="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38" t="s">
        <v>20</v>
      </c>
      <c r="D11" s="38" t="s">
        <v>21</v>
      </c>
      <c r="E11" s="8"/>
      <c r="F11" s="40" t="s">
        <v>22</v>
      </c>
      <c r="G11" s="40" t="s">
        <v>23</v>
      </c>
      <c r="H11" s="8"/>
      <c r="I11" s="40" t="s">
        <v>24</v>
      </c>
      <c r="J11" s="40" t="s">
        <v>25</v>
      </c>
      <c r="K11" s="40" t="s">
        <v>26</v>
      </c>
      <c r="L11" s="11"/>
      <c r="M11" s="8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12.0</v>
      </c>
      <c r="D12" s="25">
        <v>40.0</v>
      </c>
      <c r="E12" s="13"/>
      <c r="F12" s="25">
        <v>40.0</v>
      </c>
      <c r="G12" s="25">
        <v>44.0</v>
      </c>
      <c r="H12" s="13"/>
      <c r="I12" s="44">
        <f>J12/I$5</f>
        <v>12.68537034</v>
      </c>
      <c r="J12" s="44">
        <f>D$5*I$5*((I$8*0.0254/2)*2*PI())/(0.3048*60)*C12/D12*C13/D13*C14/D14*F12/G12</f>
        <v>10.27514997</v>
      </c>
      <c r="K12" s="49">
        <f>((F$5-G$5)/E$5*(F$8*G$8*J$8/C$8*4.44822161526*I$8*0.0254/2/J$5/D$8*C12/D12*C13/D13*C14/D14*F12/G12))+G$5</f>
        <v>79.89145397</v>
      </c>
      <c r="L12" s="20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25">
        <v>1.0</v>
      </c>
      <c r="D13" s="25">
        <v>1.0</v>
      </c>
      <c r="E13" s="1"/>
      <c r="F13" s="1"/>
      <c r="G13" s="1"/>
      <c r="H13" s="1"/>
      <c r="I13" s="50">
        <f>D12*D13*D14*G12/C12/C13/C14/F12</f>
        <v>7.333333333</v>
      </c>
      <c r="J13" s="1" t="s">
        <v>40</v>
      </c>
      <c r="K13" s="1"/>
      <c r="L13" s="23"/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25">
        <v>12.0</v>
      </c>
      <c r="D14" s="25">
        <v>24.0</v>
      </c>
      <c r="E14" s="1"/>
      <c r="F14" s="1"/>
      <c r="G14" s="1"/>
      <c r="H14" s="1"/>
      <c r="I14" s="47"/>
      <c r="J14" s="1"/>
      <c r="K14" s="1"/>
      <c r="L14" s="23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1"/>
      <c r="D15" s="1"/>
      <c r="E15" s="1"/>
      <c r="F15" s="51" t="s">
        <v>41</v>
      </c>
      <c r="G15" s="51" t="s">
        <v>42</v>
      </c>
      <c r="H15" s="1"/>
      <c r="I15" s="51" t="s">
        <v>43</v>
      </c>
      <c r="J15" s="51" t="s">
        <v>44</v>
      </c>
      <c r="K15" s="51" t="s">
        <v>26</v>
      </c>
      <c r="L15" s="23"/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1"/>
      <c r="C16" s="52">
        <f>I12/I16</f>
        <v>2.272727273</v>
      </c>
      <c r="D16" s="1" t="s">
        <v>45</v>
      </c>
      <c r="E16" s="1"/>
      <c r="F16" s="25">
        <v>24.0</v>
      </c>
      <c r="G16" s="25">
        <v>60.0</v>
      </c>
      <c r="H16" s="1"/>
      <c r="I16" s="44">
        <f>J16/I$5</f>
        <v>5.581562948</v>
      </c>
      <c r="J16" s="44">
        <f>D$5*I$5*I$8*0.0254/2*2*PI()/(0.3048*60)*C12/D12*C13/D13*C14/D14*F16/G16</f>
        <v>4.521065988</v>
      </c>
      <c r="K16" s="49">
        <f>((F$5-G$5)/E$5*(F$8*G$8*J$8/C$8*4.44822161526*I$8*0.0254/2/J$5/D$8*C12/D12*C13/D13*C14/D14*F16/G16))+G$5</f>
        <v>36.66423975</v>
      </c>
      <c r="L16" s="23"/>
      <c r="M16" s="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1"/>
      <c r="C17" s="1"/>
      <c r="D17" s="1"/>
      <c r="E17" s="1"/>
      <c r="F17" s="1"/>
      <c r="G17" s="1"/>
      <c r="H17" s="1"/>
      <c r="I17" s="50">
        <f>D12*D13*D14*G16/C12/C13/C14/F16</f>
        <v>16.66666667</v>
      </c>
      <c r="J17" s="2" t="s">
        <v>47</v>
      </c>
      <c r="K17" s="1"/>
      <c r="L17" s="23"/>
      <c r="M17" s="1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31"/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F81BD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67"/>
    <col customWidth="1" min="3" max="3" width="23.11"/>
    <col customWidth="1" min="4" max="4" width="11.11"/>
    <col customWidth="1" min="5" max="5" width="10.78"/>
    <col customWidth="1" min="6" max="6" width="13.33"/>
    <col customWidth="1" min="7" max="7" width="12.11"/>
    <col customWidth="1" min="8" max="8" width="2.44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0</v>
      </c>
      <c r="C2" s="3"/>
      <c r="D2" s="1"/>
      <c r="E2" s="2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5"/>
      <c r="D3" s="6"/>
      <c r="E3" s="5"/>
      <c r="F3" s="5"/>
      <c r="G3" s="5"/>
      <c r="H3" s="7"/>
      <c r="I3" s="1"/>
      <c r="J3" s="12" t="s">
        <v>2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15" t="s">
        <v>9</v>
      </c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11</v>
      </c>
      <c r="D5" s="17">
        <f>VLOOKUP(C5,Motor,2,FALSE)</f>
        <v>5330</v>
      </c>
      <c r="E5" s="19">
        <f>VLOOKUP(C5,Motor,3,FALSE)</f>
        <v>4.82</v>
      </c>
      <c r="F5" s="19">
        <f>VLOOKUP(C5,Motor,4,FALSE)</f>
        <v>262</v>
      </c>
      <c r="G5" s="19">
        <f>VLOOKUP(C5,Motor,5,FALSE)</f>
        <v>5.4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1"/>
      <c r="D6" s="8"/>
      <c r="E6" s="8"/>
      <c r="F6" s="13"/>
      <c r="G6" s="13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"/>
      <c r="D7" s="24" t="s">
        <v>16</v>
      </c>
      <c r="E7" s="24" t="s">
        <v>18</v>
      </c>
      <c r="F7" s="10" t="s">
        <v>14</v>
      </c>
      <c r="G7" s="10" t="s">
        <v>15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1"/>
      <c r="D8" s="25">
        <v>4.0</v>
      </c>
      <c r="E8" s="25">
        <v>1.1</v>
      </c>
      <c r="F8" s="25">
        <v>154.0</v>
      </c>
      <c r="G8" s="22">
        <v>1.0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7"/>
      <c r="D9" s="28"/>
      <c r="E9" s="28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33"/>
      <c r="C10" s="35" t="s">
        <v>19</v>
      </c>
      <c r="D10" s="32"/>
      <c r="E10" s="32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37"/>
      <c r="C11" s="39"/>
      <c r="D11" s="13"/>
      <c r="E11" s="13"/>
      <c r="F11" s="1"/>
      <c r="G11" s="1"/>
      <c r="H11" s="23"/>
      <c r="I11" s="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41"/>
      <c r="C12" s="42" t="s">
        <v>27</v>
      </c>
      <c r="D12" s="43" t="s">
        <v>28</v>
      </c>
      <c r="E12" s="45"/>
      <c r="F12" s="45"/>
      <c r="G12" s="46"/>
      <c r="H12" s="23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41"/>
      <c r="C13" s="42" t="s">
        <v>29</v>
      </c>
      <c r="D13" s="43" t="s">
        <v>30</v>
      </c>
      <c r="E13" s="45"/>
      <c r="F13" s="45"/>
      <c r="G13" s="46"/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41"/>
      <c r="C14" s="42" t="s">
        <v>31</v>
      </c>
      <c r="D14" s="43" t="s">
        <v>32</v>
      </c>
      <c r="E14" s="45"/>
      <c r="F14" s="45"/>
      <c r="G14" s="46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41"/>
      <c r="C15" s="47"/>
      <c r="D15" s="47"/>
      <c r="E15" s="1"/>
      <c r="F15" s="47"/>
      <c r="G15" s="8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41"/>
      <c r="C16" s="47"/>
      <c r="D16" s="24" t="s">
        <v>20</v>
      </c>
      <c r="E16" s="24" t="s">
        <v>21</v>
      </c>
      <c r="F16" s="47"/>
      <c r="G16" s="8"/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41"/>
      <c r="C17" s="42" t="s">
        <v>33</v>
      </c>
      <c r="D17" s="25">
        <v>1.0</v>
      </c>
      <c r="E17" s="25">
        <v>1.0</v>
      </c>
      <c r="F17" s="47"/>
      <c r="G17" s="8"/>
      <c r="H17" s="23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8"/>
      <c r="E18" s="28"/>
      <c r="F18" s="27"/>
      <c r="G18" s="27"/>
      <c r="H18" s="31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1"/>
      <c r="C19" s="39" t="s">
        <v>34</v>
      </c>
      <c r="D19" s="1"/>
      <c r="E19" s="1"/>
      <c r="F19" s="1"/>
      <c r="G19" s="2"/>
      <c r="H19" s="23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1"/>
      <c r="C20" s="1"/>
      <c r="D20" s="24" t="s">
        <v>35</v>
      </c>
      <c r="E20" s="24" t="s">
        <v>36</v>
      </c>
      <c r="F20" s="24" t="s">
        <v>37</v>
      </c>
      <c r="G20" s="24" t="s">
        <v>38</v>
      </c>
      <c r="H20" s="23"/>
      <c r="I20" s="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"/>
      <c r="B21" s="21"/>
      <c r="C21" s="42" t="s">
        <v>39</v>
      </c>
      <c r="D21" s="48">
        <f t="shared" ref="D21:D22" si="1">E21/0.81</f>
        <v>10.26022601</v>
      </c>
      <c r="E21" s="48">
        <f>D$5*0.81*((D$8*0.0254/2)*2*PI())/(0.3048*60)*D26/E26*D29/E29*D30/E30*D27/E27</f>
        <v>8.310783066</v>
      </c>
      <c r="F21" s="49">
        <f>IF((((F$5-G$5)/E$5*(F$8*G$8*E$8/2*4.44822161526*D$8*0.0254/0.9/2*D26/E26*D29/E29*D30/E30*D27/E27))+G$5)&gt;F5,F5,(((F$5-G$5)/E$5*(F$8*G$8*E$8/2*4.44822161526*D$8*0.0254/0.9/2*D26/E26*D29/E29*D30/E30*D27/E27))+G$5))</f>
        <v>130.2685285</v>
      </c>
      <c r="G21" s="53">
        <f>E26*E29*E30*E27/D26/D29/D30/D27</f>
        <v>9.066666667</v>
      </c>
      <c r="H21" s="23"/>
      <c r="I21" s="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"/>
      <c r="B22" s="21"/>
      <c r="C22" s="42" t="s">
        <v>46</v>
      </c>
      <c r="D22" s="48">
        <f t="shared" si="1"/>
        <v>4.744328506</v>
      </c>
      <c r="E22" s="48">
        <f>D$5*0.81*D$8*0.0254/2*2*PI()/(0.3048*60)*D26/E26*D29/E29*D30/E30*D28/E28</f>
        <v>3.84290609</v>
      </c>
      <c r="F22" s="49">
        <f>IF((((F$5-G$5)/E$5*(F$8*G$8*E$8/2*4.44822161526*D$8*0.0254/0.9/2*D26/E26*D29/E29*D30/E30*D28/E28))+G$5)&gt;F5,F5,(((F$5-G$5)/E$5*(F$8*G$8*E$8/2*4.44822161526*D$8*0.0254/0.9/2*D26/E26*D29/E29*D30/E30*D28/E28))+G$5))</f>
        <v>63.13920757</v>
      </c>
      <c r="G22" s="53">
        <f>E26*E29*E30*E28/D26/D29/D30/D28</f>
        <v>19.60784314</v>
      </c>
      <c r="H22" s="23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"/>
      <c r="B23" s="26"/>
      <c r="C23" s="27"/>
      <c r="D23" s="27"/>
      <c r="E23" s="27"/>
      <c r="F23" s="27"/>
      <c r="G23" s="27"/>
      <c r="H23" s="31"/>
      <c r="I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"/>
      <c r="B24" s="21"/>
      <c r="C24" s="39" t="s">
        <v>52</v>
      </c>
      <c r="D24" s="57"/>
      <c r="E24" s="13"/>
      <c r="F24" s="1"/>
      <c r="G24" s="1"/>
      <c r="H24" s="23"/>
      <c r="I24" s="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8"/>
      <c r="B25" s="9"/>
      <c r="C25" s="8"/>
      <c r="D25" s="24" t="s">
        <v>20</v>
      </c>
      <c r="E25" s="24" t="s">
        <v>21</v>
      </c>
      <c r="F25" s="8"/>
      <c r="G25" s="58"/>
      <c r="H25" s="11"/>
      <c r="I25" s="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/>
      <c r="B26" s="41"/>
      <c r="C26" s="42" t="s">
        <v>55</v>
      </c>
      <c r="D26" s="61">
        <f>VLOOKUP(D12,initial3CIM,2,FALSE)</f>
        <v>12</v>
      </c>
      <c r="E26" s="61">
        <f>VLOOKUP(D12,initial3CIM,3,FALSE)</f>
        <v>50</v>
      </c>
      <c r="F26" s="2"/>
      <c r="G26" s="2"/>
      <c r="H26" s="20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3"/>
      <c r="B27" s="41"/>
      <c r="C27" s="42" t="s">
        <v>59</v>
      </c>
      <c r="D27" s="61">
        <v>50.0</v>
      </c>
      <c r="E27" s="61">
        <v>34.0</v>
      </c>
      <c r="F27" s="42"/>
      <c r="G27" s="13"/>
      <c r="H27" s="20"/>
      <c r="I27" s="1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3"/>
      <c r="B28" s="41"/>
      <c r="C28" s="42" t="s">
        <v>60</v>
      </c>
      <c r="D28" s="61">
        <f>VLOOKUP(D13,lowgear3CIM,2,FALSE)</f>
        <v>34</v>
      </c>
      <c r="E28" s="61">
        <f>VLOOKUP(D13,lowgear3CIM,3,FALSE)</f>
        <v>50</v>
      </c>
      <c r="F28" s="42"/>
      <c r="G28" s="13"/>
      <c r="H28" s="20"/>
      <c r="I28" s="1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"/>
      <c r="B29" s="41"/>
      <c r="C29" s="42" t="s">
        <v>61</v>
      </c>
      <c r="D29" s="61">
        <f>VLOOKUP(D14,thirdstage3CIM,2,FALSE)</f>
        <v>20</v>
      </c>
      <c r="E29" s="61">
        <f>VLOOKUP(D14,thirdstage3CIM,3,FALSE)</f>
        <v>64</v>
      </c>
      <c r="F29" s="2"/>
      <c r="G29" s="2"/>
      <c r="H29" s="23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"/>
      <c r="B30" s="63"/>
      <c r="C30" s="42" t="s">
        <v>62</v>
      </c>
      <c r="D30" s="61">
        <f t="shared" ref="D30:E30" si="2">D17</f>
        <v>1</v>
      </c>
      <c r="E30" s="61">
        <f t="shared" si="2"/>
        <v>1</v>
      </c>
      <c r="F30" s="1"/>
      <c r="G30" s="2"/>
      <c r="H30" s="23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"/>
      <c r="B31" s="21"/>
      <c r="C31" s="42" t="s">
        <v>63</v>
      </c>
      <c r="D31" s="52">
        <f>D21/D22</f>
        <v>2.162629758</v>
      </c>
      <c r="E31" s="1"/>
      <c r="F31" s="1"/>
      <c r="G31" s="2"/>
      <c r="H31" s="23"/>
      <c r="I31" s="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1"/>
      <c r="B32" s="26"/>
      <c r="C32" s="27"/>
      <c r="D32" s="64"/>
      <c r="E32" s="27"/>
      <c r="F32" s="27"/>
      <c r="G32" s="65"/>
      <c r="H32" s="31"/>
      <c r="I32" s="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D12:G12"/>
    <mergeCell ref="D13:G13"/>
    <mergeCell ref="D14:G14"/>
  </mergeCells>
  <dataValidations>
    <dataValidation type="list" allowBlank="1" showErrorMessage="1" sqref="D14">
      <formula1>thirdstage3CIMchoice</formula1>
    </dataValidation>
    <dataValidation type="list" allowBlank="1" showErrorMessage="1" sqref="C5">
      <formula1>MotorChoice</formula1>
    </dataValidation>
    <dataValidation type="list" allowBlank="1" showErrorMessage="1" sqref="D12">
      <formula1>initial3CIMchoice</formula1>
    </dataValidation>
    <dataValidation type="list" allowBlank="1" showErrorMessage="1" sqref="D13">
      <formula1>lowgear3CIMchoice</formula1>
    </dataValidation>
  </dataValidations>
  <hyperlinks>
    <hyperlink r:id="rId1" ref="J3"/>
  </hyperlinks>
  <printOptions/>
  <pageMargins bottom="1.0" footer="0.0" header="0.0" left="0.75" right="0.75" top="1.0"/>
  <pageSetup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F81BD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67"/>
    <col customWidth="1" min="3" max="3" width="23.11"/>
    <col customWidth="1" min="4" max="4" width="11.11"/>
    <col customWidth="1" min="5" max="5" width="10.78"/>
    <col customWidth="1" min="6" max="6" width="13.33"/>
    <col customWidth="1" min="7" max="7" width="12.11"/>
    <col customWidth="1" min="8" max="8" width="2.44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80</v>
      </c>
      <c r="C2" s="3"/>
      <c r="D2" s="1"/>
      <c r="E2" s="2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5"/>
      <c r="D3" s="6"/>
      <c r="E3" s="5"/>
      <c r="F3" s="5"/>
      <c r="G3" s="5"/>
      <c r="H3" s="7"/>
      <c r="I3" s="1"/>
      <c r="J3" s="67" t="s">
        <v>81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15" t="s">
        <v>9</v>
      </c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11</v>
      </c>
      <c r="D5" s="18">
        <f>VLOOKUP(C5,MotorTwo,2,FALSE)</f>
        <v>5330</v>
      </c>
      <c r="E5" s="19">
        <f>VLOOKUP(C5,MotorTwo,3,FALSE)</f>
        <v>4.82</v>
      </c>
      <c r="F5" s="19">
        <f>VLOOKUP(C5,MotorTwo,4,FALSE)</f>
        <v>262</v>
      </c>
      <c r="G5" s="19">
        <f>VLOOKUP(C5,MotorTwo,5,FALSE)</f>
        <v>5.4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1"/>
      <c r="D6" s="8"/>
      <c r="E6" s="8"/>
      <c r="F6" s="13"/>
      <c r="G6" s="13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"/>
      <c r="D7" s="24" t="s">
        <v>16</v>
      </c>
      <c r="E7" s="24" t="s">
        <v>18</v>
      </c>
      <c r="F7" s="10" t="s">
        <v>14</v>
      </c>
      <c r="G7" s="10" t="s">
        <v>15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1"/>
      <c r="D8" s="25">
        <v>4.0</v>
      </c>
      <c r="E8" s="25">
        <v>1.1</v>
      </c>
      <c r="F8" s="25">
        <v>154.0</v>
      </c>
      <c r="G8" s="22">
        <v>1.0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7"/>
      <c r="D9" s="28"/>
      <c r="E9" s="28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33"/>
      <c r="C10" s="35" t="s">
        <v>19</v>
      </c>
      <c r="D10" s="32"/>
      <c r="E10" s="32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37"/>
      <c r="C11" s="39"/>
      <c r="D11" s="13"/>
      <c r="E11" s="13"/>
      <c r="F11" s="1"/>
      <c r="G11" s="1"/>
      <c r="H11" s="23"/>
      <c r="I11" s="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41"/>
      <c r="C12" s="42" t="s">
        <v>27</v>
      </c>
      <c r="D12" s="43" t="s">
        <v>88</v>
      </c>
      <c r="E12" s="45"/>
      <c r="F12" s="45"/>
      <c r="G12" s="46"/>
      <c r="H12" s="23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41"/>
      <c r="C13" s="42" t="s">
        <v>31</v>
      </c>
      <c r="D13" s="43" t="s">
        <v>91</v>
      </c>
      <c r="E13" s="45"/>
      <c r="F13" s="45"/>
      <c r="G13" s="46"/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41"/>
      <c r="C14" s="47"/>
      <c r="D14" s="47"/>
      <c r="E14" s="1"/>
      <c r="F14" s="47"/>
      <c r="G14" s="8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41"/>
      <c r="C15" s="47"/>
      <c r="D15" s="24" t="s">
        <v>20</v>
      </c>
      <c r="E15" s="24" t="s">
        <v>21</v>
      </c>
      <c r="F15" s="47"/>
      <c r="G15" s="8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41"/>
      <c r="C16" s="42" t="s">
        <v>33</v>
      </c>
      <c r="D16" s="25">
        <v>1.0</v>
      </c>
      <c r="E16" s="25">
        <v>1.0</v>
      </c>
      <c r="F16" s="47"/>
      <c r="G16" s="8"/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6"/>
      <c r="C17" s="27"/>
      <c r="D17" s="28"/>
      <c r="E17" s="28"/>
      <c r="F17" s="27"/>
      <c r="G17" s="27"/>
      <c r="H17" s="31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1"/>
      <c r="C18" s="39" t="s">
        <v>34</v>
      </c>
      <c r="D18" s="1"/>
      <c r="E18" s="1"/>
      <c r="F18" s="1"/>
      <c r="G18" s="2"/>
      <c r="H18" s="23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1"/>
      <c r="C19" s="1"/>
      <c r="D19" s="24" t="s">
        <v>35</v>
      </c>
      <c r="E19" s="24" t="s">
        <v>36</v>
      </c>
      <c r="F19" s="24" t="s">
        <v>37</v>
      </c>
      <c r="G19" s="24" t="s">
        <v>38</v>
      </c>
      <c r="H19" s="23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1"/>
      <c r="C20" s="42" t="s">
        <v>39</v>
      </c>
      <c r="D20" s="48">
        <f t="shared" ref="D20:D21" si="1">E20/0.81</f>
        <v>17.25210366</v>
      </c>
      <c r="E20" s="48">
        <f>D$5*0.81*((D$8*0.0254/2)*2*PI())/(0.3048*60)*D25/E25*D28/E28*D29/E29*D26/E26</f>
        <v>13.97420396</v>
      </c>
      <c r="F20" s="49">
        <f>IF((((F$5-G$5)/E$5*(F$8*G$8*E$8/2*4.44822161526*D$8*0.0254/0.9/2*D25/E25*D28/E28*D29/E29*D26/E26))+G$5)&gt;F5,F5,(((F$5-G$5)/E$5*(F$8*G$8*E$8/2*4.44822161526*D$8*0.0254/0.9/2*D25/E25*D28/E28*D29/E29*D26/E26))+G$5))</f>
        <v>215.3607548</v>
      </c>
      <c r="G20" s="53">
        <f>E25*E28*E29*E26/D25/D28/D29/D26</f>
        <v>5.392156863</v>
      </c>
      <c r="H20" s="23"/>
      <c r="I20" s="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"/>
      <c r="B21" s="21"/>
      <c r="C21" s="42" t="s">
        <v>46</v>
      </c>
      <c r="D21" s="48">
        <f t="shared" si="1"/>
        <v>7.590925609</v>
      </c>
      <c r="E21" s="48">
        <f>D$5*0.81*D$8*0.0254/2*2*PI()/(0.3048*60)*D25/E25*D28/E28*D29/E29*D27/E27</f>
        <v>6.148649743</v>
      </c>
      <c r="F21" s="49">
        <f>IF((((F$5-G$5)/E$5*(F$8*G$8*E$8/2*4.44822161526*D$8*0.0254/0.9/2*D25/E25*D28/E28*D29/E29*D27/E27))+G$5)&gt;F5,F5,(((F$5-G$5)/E$5*(F$8*G$8*E$8/2*4.44822161526*D$8*0.0254/0.9/2*D25/E25*D28/E28*D29/E29*D27/E27))+G$5))</f>
        <v>97.78273211</v>
      </c>
      <c r="G21" s="53">
        <f>E25*E28*E29*E27/D25/D28/D29/D27</f>
        <v>12.25490196</v>
      </c>
      <c r="H21" s="23"/>
      <c r="I21" s="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"/>
      <c r="B22" s="26"/>
      <c r="C22" s="27"/>
      <c r="D22" s="27"/>
      <c r="E22" s="27"/>
      <c r="F22" s="27"/>
      <c r="G22" s="27"/>
      <c r="H22" s="31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"/>
      <c r="B23" s="21"/>
      <c r="C23" s="39" t="s">
        <v>52</v>
      </c>
      <c r="D23" s="57"/>
      <c r="E23" s="13"/>
      <c r="F23" s="1"/>
      <c r="G23" s="1"/>
      <c r="H23" s="23"/>
      <c r="I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8"/>
      <c r="B24" s="9"/>
      <c r="C24" s="8"/>
      <c r="D24" s="24" t="s">
        <v>20</v>
      </c>
      <c r="E24" s="24" t="s">
        <v>21</v>
      </c>
      <c r="F24" s="8"/>
      <c r="G24" s="58"/>
      <c r="H24" s="11"/>
      <c r="I24" s="8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3"/>
      <c r="B25" s="41"/>
      <c r="C25" s="42" t="s">
        <v>55</v>
      </c>
      <c r="D25" s="61">
        <f>VLOOKUP(D12,initial2CIM,2,FALSE)</f>
        <v>12</v>
      </c>
      <c r="E25" s="61">
        <f>VLOOKUP(D12,initial2CIM,3,FALSE)</f>
        <v>40</v>
      </c>
      <c r="F25" s="2"/>
      <c r="G25" s="2"/>
      <c r="H25" s="20"/>
      <c r="I25" s="1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/>
      <c r="B26" s="41"/>
      <c r="C26" s="42" t="s">
        <v>59</v>
      </c>
      <c r="D26" s="61">
        <v>40.0</v>
      </c>
      <c r="E26" s="61">
        <v>44.0</v>
      </c>
      <c r="F26" s="42"/>
      <c r="G26" s="13"/>
      <c r="H26" s="20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3"/>
      <c r="B27" s="41"/>
      <c r="C27" s="42" t="s">
        <v>60</v>
      </c>
      <c r="D27" s="61">
        <v>24.0</v>
      </c>
      <c r="E27" s="61">
        <v>60.0</v>
      </c>
      <c r="F27" s="42"/>
      <c r="G27" s="13"/>
      <c r="H27" s="20"/>
      <c r="I27" s="1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"/>
      <c r="B28" s="41"/>
      <c r="C28" s="42" t="s">
        <v>61</v>
      </c>
      <c r="D28" s="61">
        <f>VLOOKUP(D13,thirdstage2CIM,2,FALSE)</f>
        <v>34</v>
      </c>
      <c r="E28" s="61">
        <f>VLOOKUP(D13,thirdstage2CIM,3,FALSE)</f>
        <v>50</v>
      </c>
      <c r="F28" s="2"/>
      <c r="G28" s="2"/>
      <c r="H28" s="23"/>
      <c r="I28" s="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"/>
      <c r="B29" s="63"/>
      <c r="C29" s="42" t="s">
        <v>62</v>
      </c>
      <c r="D29" s="61">
        <f t="shared" ref="D29:E29" si="2">D16</f>
        <v>1</v>
      </c>
      <c r="E29" s="61">
        <f t="shared" si="2"/>
        <v>1</v>
      </c>
      <c r="F29" s="1"/>
      <c r="G29" s="2"/>
      <c r="H29" s="23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"/>
      <c r="B30" s="21"/>
      <c r="C30" s="42" t="s">
        <v>63</v>
      </c>
      <c r="D30" s="52">
        <f>D20/D21</f>
        <v>2.272727273</v>
      </c>
      <c r="E30" s="1"/>
      <c r="F30" s="1"/>
      <c r="G30" s="2"/>
      <c r="H30" s="23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"/>
      <c r="B31" s="26"/>
      <c r="C31" s="27"/>
      <c r="D31" s="64"/>
      <c r="E31" s="27"/>
      <c r="F31" s="27"/>
      <c r="G31" s="65"/>
      <c r="H31" s="31"/>
      <c r="I31" s="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D12:G12"/>
    <mergeCell ref="D13:G13"/>
  </mergeCells>
  <dataValidations>
    <dataValidation type="list" allowBlank="1" showErrorMessage="1" sqref="D12">
      <formula1>initial2CIMchoice</formula1>
    </dataValidation>
    <dataValidation type="list" allowBlank="1" showErrorMessage="1" sqref="C5">
      <formula1>MotorTwochoice</formula1>
    </dataValidation>
    <dataValidation type="list" allowBlank="1" showErrorMessage="1" sqref="D13">
      <formula1>thirdstage2CIMchoice</formula1>
    </dataValidation>
  </dataValidations>
  <hyperlinks>
    <hyperlink r:id="rId1" ref="J3"/>
  </hyperlinks>
  <printOptions/>
  <pageMargins bottom="1.0" footer="0.0" header="0.0" left="0.75" right="0.75" top="1.0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F81BD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67"/>
    <col customWidth="1" min="3" max="3" width="23.11"/>
    <col customWidth="1" min="4" max="4" width="11.11"/>
    <col customWidth="1" min="5" max="5" width="10.78"/>
    <col customWidth="1" min="6" max="6" width="13.33"/>
    <col customWidth="1" min="7" max="7" width="12.11"/>
    <col customWidth="1" min="8" max="8" width="2.44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82</v>
      </c>
      <c r="C2" s="3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5"/>
      <c r="D3" s="6"/>
      <c r="E3" s="5"/>
      <c r="F3" s="5"/>
      <c r="G3" s="5"/>
      <c r="H3" s="7"/>
      <c r="I3" s="1"/>
      <c r="J3" s="12" t="s">
        <v>83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15" t="s">
        <v>9</v>
      </c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84</v>
      </c>
      <c r="D5" s="17">
        <f>VLOOKUP(C5,Motor,2,FALSE)</f>
        <v>5330</v>
      </c>
      <c r="E5" s="19">
        <f>VLOOKUP(C5,Motor,3,FALSE)</f>
        <v>7.23</v>
      </c>
      <c r="F5" s="19">
        <f>VLOOKUP(C5,Motor,4,FALSE)</f>
        <v>393</v>
      </c>
      <c r="G5" s="19">
        <f>VLOOKUP(C5,Motor,5,FALSE)</f>
        <v>8.1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1"/>
      <c r="D6" s="8"/>
      <c r="E6" s="8"/>
      <c r="F6" s="13"/>
      <c r="G6" s="13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"/>
      <c r="D7" s="24" t="s">
        <v>16</v>
      </c>
      <c r="E7" s="24" t="s">
        <v>18</v>
      </c>
      <c r="F7" s="10" t="s">
        <v>14</v>
      </c>
      <c r="G7" s="10" t="s">
        <v>15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1"/>
      <c r="D8" s="25">
        <v>4.0</v>
      </c>
      <c r="E8" s="25">
        <v>1.1</v>
      </c>
      <c r="F8" s="25">
        <v>154.0</v>
      </c>
      <c r="G8" s="22">
        <v>1.0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7"/>
      <c r="D9" s="28"/>
      <c r="E9" s="28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33"/>
      <c r="C10" s="35" t="s">
        <v>87</v>
      </c>
      <c r="D10" s="32"/>
      <c r="E10" s="32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37"/>
      <c r="C11" s="39"/>
      <c r="D11" s="13"/>
      <c r="E11" s="13"/>
      <c r="F11" s="1"/>
      <c r="G11" s="1"/>
      <c r="H11" s="23"/>
      <c r="I11" s="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41"/>
      <c r="C12" s="42" t="s">
        <v>89</v>
      </c>
      <c r="D12" s="43" t="s">
        <v>90</v>
      </c>
      <c r="E12" s="45"/>
      <c r="F12" s="46"/>
      <c r="G12" s="8"/>
      <c r="H12" s="23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41"/>
      <c r="C13" s="42" t="s">
        <v>29</v>
      </c>
      <c r="D13" s="43" t="s">
        <v>93</v>
      </c>
      <c r="E13" s="45"/>
      <c r="F13" s="46"/>
      <c r="G13" s="8"/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41"/>
      <c r="C14" s="42" t="s">
        <v>94</v>
      </c>
      <c r="D14" s="43" t="s">
        <v>95</v>
      </c>
      <c r="E14" s="45"/>
      <c r="F14" s="46"/>
      <c r="G14" s="8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41"/>
      <c r="C15" s="47"/>
      <c r="D15" s="47"/>
      <c r="E15" s="1"/>
      <c r="F15" s="47"/>
      <c r="G15" s="8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41"/>
      <c r="C16" s="47"/>
      <c r="D16" s="24" t="s">
        <v>20</v>
      </c>
      <c r="E16" s="24" t="s">
        <v>21</v>
      </c>
      <c r="F16" s="47"/>
      <c r="G16" s="8"/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41"/>
      <c r="C17" s="42" t="s">
        <v>33</v>
      </c>
      <c r="D17" s="25">
        <v>1.0</v>
      </c>
      <c r="E17" s="25">
        <v>1.0</v>
      </c>
      <c r="F17" s="47"/>
      <c r="G17" s="8"/>
      <c r="H17" s="23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8"/>
      <c r="E18" s="28"/>
      <c r="F18" s="27"/>
      <c r="G18" s="27"/>
      <c r="H18" s="31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1"/>
      <c r="C19" s="39" t="s">
        <v>34</v>
      </c>
      <c r="D19" s="1"/>
      <c r="E19" s="1"/>
      <c r="F19" s="1"/>
      <c r="G19" s="2"/>
      <c r="H19" s="23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1"/>
      <c r="C20" s="1"/>
      <c r="D20" s="24" t="s">
        <v>35</v>
      </c>
      <c r="E20" s="24" t="s">
        <v>36</v>
      </c>
      <c r="F20" s="24" t="s">
        <v>37</v>
      </c>
      <c r="G20" s="24" t="s">
        <v>38</v>
      </c>
      <c r="H20" s="23"/>
      <c r="I20" s="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"/>
      <c r="B21" s="21"/>
      <c r="C21" s="42" t="s">
        <v>39</v>
      </c>
      <c r="D21" s="48">
        <f t="shared" ref="D21:D22" si="1">E21/0.81</f>
        <v>18.12195762</v>
      </c>
      <c r="E21" s="48">
        <f>D$5*0.81*((D$8*0.0254/2)*2*PI())/(0.3048*60)*D26/E26*D29/E29*D28/E28</f>
        <v>14.67878567</v>
      </c>
      <c r="F21" s="49">
        <f>IF((((F$5-G$5)/E$5*(F$8*G$8*E$8/2*4.44822161526*D$8*0.0254/0.9/2*D26/E26*D29/E29*D28/E28))+G$5)&gt;F5,F5,(((F$5-G$5)/E$5*(F$8*G$8*E$8/2*4.44822161526*D$8*0.0254/0.9/2*D26/E26*D29/E29*D28/E28))+G$5))</f>
        <v>228.6470114</v>
      </c>
      <c r="G21" s="53">
        <f>E26*E29*E28/D26/D29/D28</f>
        <v>5.133333333</v>
      </c>
      <c r="H21" s="23"/>
      <c r="I21" s="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"/>
      <c r="B22" s="21"/>
      <c r="C22" s="42" t="s">
        <v>46</v>
      </c>
      <c r="D22" s="48">
        <f t="shared" si="1"/>
        <v>12.75785817</v>
      </c>
      <c r="E22" s="48">
        <f>D$5*0.81*D$8*0.0254/2*2*PI()/(0.3048*60)*D26/E26*D29/E29*D27/E27</f>
        <v>10.33386511</v>
      </c>
      <c r="F22" s="49">
        <f>IF((((F$5-G$5)/E$5*(F$8*G$8*E$8/2*4.44822161526*D$8*0.0254/0.9/2*D26/E26*D29/E29*D27/E27))+G$5)&gt;F5,F5,(((F$5-G$5)/E$5*(F$8*G$8*E$8/2*4.44822161526*D$8*0.0254/0.9/2*D26/E26*D29/E29*D27/E27))+G$5))</f>
        <v>163.365096</v>
      </c>
      <c r="G22" s="53">
        <f>E26*E29*E27/D26/D29/D27</f>
        <v>7.291666667</v>
      </c>
      <c r="H22" s="23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"/>
      <c r="B23" s="26"/>
      <c r="C23" s="27"/>
      <c r="D23" s="27"/>
      <c r="E23" s="27"/>
      <c r="F23" s="27"/>
      <c r="G23" s="27"/>
      <c r="H23" s="31"/>
      <c r="I23" s="1"/>
      <c r="J23" s="7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"/>
      <c r="B24" s="21"/>
      <c r="C24" s="39" t="s">
        <v>52</v>
      </c>
      <c r="D24" s="57"/>
      <c r="E24" s="13"/>
      <c r="F24" s="1"/>
      <c r="G24" s="1"/>
      <c r="H24" s="23"/>
      <c r="I24" s="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8"/>
      <c r="B25" s="9"/>
      <c r="C25" s="8"/>
      <c r="D25" s="24" t="s">
        <v>20</v>
      </c>
      <c r="E25" s="24" t="s">
        <v>21</v>
      </c>
      <c r="F25" s="8"/>
      <c r="G25" s="58"/>
      <c r="H25" s="11"/>
      <c r="I25" s="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/>
      <c r="B26" s="41"/>
      <c r="C26" s="42" t="s">
        <v>55</v>
      </c>
      <c r="D26" s="61">
        <f>VLOOKUP(D12,WCPDSinput,2,FALSE)</f>
        <v>12</v>
      </c>
      <c r="E26" s="61">
        <f>VLOOKUP(D12,WCPDSinput,3,FALSE)</f>
        <v>42</v>
      </c>
      <c r="F26" s="2"/>
      <c r="G26" s="2"/>
      <c r="H26" s="20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3"/>
      <c r="B27" s="41"/>
      <c r="C27" s="42" t="s">
        <v>60</v>
      </c>
      <c r="D27" s="61">
        <f>VLOOKUP(D13,WCPDSlowgear,2,FALSE)</f>
        <v>24</v>
      </c>
      <c r="E27" s="61">
        <f>VLOOKUP(D13,WCPDSlowgear,3,FALSE)</f>
        <v>50</v>
      </c>
      <c r="F27" s="42"/>
      <c r="G27" s="13"/>
      <c r="H27" s="20"/>
      <c r="I27" s="1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3"/>
      <c r="B28" s="41"/>
      <c r="C28" s="42" t="s">
        <v>59</v>
      </c>
      <c r="D28" s="61">
        <f>VLOOKUP(D14,WCPDShighgear,2,FALSE)</f>
        <v>30</v>
      </c>
      <c r="E28" s="61">
        <f>VLOOKUP(D14,WCPDShighgear,3,FALSE)</f>
        <v>44</v>
      </c>
      <c r="F28" s="42"/>
      <c r="G28" s="13"/>
      <c r="H28" s="20"/>
      <c r="I28" s="1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"/>
      <c r="B29" s="63"/>
      <c r="C29" s="42" t="s">
        <v>62</v>
      </c>
      <c r="D29" s="61">
        <f t="shared" ref="D29:E29" si="2">D17</f>
        <v>1</v>
      </c>
      <c r="E29" s="61">
        <f t="shared" si="2"/>
        <v>1</v>
      </c>
      <c r="F29" s="1"/>
      <c r="G29" s="2"/>
      <c r="H29" s="23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"/>
      <c r="B30" s="21"/>
      <c r="C30" s="42" t="s">
        <v>63</v>
      </c>
      <c r="D30" s="52">
        <f>D21/D22</f>
        <v>1.420454545</v>
      </c>
      <c r="E30" s="1"/>
      <c r="F30" s="1"/>
      <c r="G30" s="2"/>
      <c r="H30" s="23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"/>
      <c r="B31" s="26"/>
      <c r="C31" s="27"/>
      <c r="D31" s="64"/>
      <c r="E31" s="27"/>
      <c r="F31" s="27"/>
      <c r="G31" s="65"/>
      <c r="H31" s="31"/>
      <c r="I31" s="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D12:F12"/>
    <mergeCell ref="D13:F13"/>
    <mergeCell ref="D14:F14"/>
  </mergeCells>
  <dataValidations>
    <dataValidation type="list" allowBlank="1" showErrorMessage="1" sqref="D12">
      <formula1>WCPDSinputchoice</formula1>
    </dataValidation>
    <dataValidation type="list" allowBlank="1" showErrorMessage="1" sqref="D13">
      <formula1>WCPDSlowgearchoice</formula1>
    </dataValidation>
    <dataValidation type="list" allowBlank="1" showErrorMessage="1" sqref="C5">
      <formula1>MotorChoice</formula1>
    </dataValidation>
    <dataValidation type="list" allowBlank="1" showErrorMessage="1" sqref="D14">
      <formula1>WCPDShighgearchoice</formula1>
    </dataValidation>
  </dataValidations>
  <hyperlinks>
    <hyperlink r:id="rId1" ref="J3"/>
  </hyperlinks>
  <printOptions/>
  <pageMargins bottom="1.0" footer="0.0" header="0.0" left="0.75" right="0.75" top="1.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BBB59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3.44"/>
    <col customWidth="1" min="3" max="3" width="11.67"/>
    <col customWidth="1" min="4" max="4" width="11.11"/>
    <col customWidth="1" min="5" max="5" width="10.78"/>
    <col customWidth="1" min="6" max="6" width="10.11"/>
    <col customWidth="1" min="7" max="7" width="10.78"/>
    <col customWidth="1" min="8" max="8" width="4.11"/>
    <col customWidth="1" min="9" max="9" width="12.67"/>
    <col customWidth="1" min="10" max="10" width="10.78"/>
    <col customWidth="1" min="11" max="11" width="2.78"/>
    <col customWidth="1" min="12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85</v>
      </c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5"/>
      <c r="I3" s="5"/>
      <c r="J3" s="5"/>
      <c r="K3" s="7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8"/>
      <c r="I4" s="10" t="s">
        <v>86</v>
      </c>
      <c r="J4" s="10" t="s">
        <v>8</v>
      </c>
      <c r="K4" s="11"/>
      <c r="L4" s="8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10</v>
      </c>
      <c r="D5" s="18">
        <f>VLOOKUP(C5,Specs,2,FALSE)</f>
        <v>5330</v>
      </c>
      <c r="E5" s="19">
        <f>VLOOKUP(C5,Specs,3,FALSE)</f>
        <v>2.41</v>
      </c>
      <c r="F5" s="19">
        <f>VLOOKUP(C5,Specs,4,FALSE)</f>
        <v>131</v>
      </c>
      <c r="G5" s="19">
        <f>VLOOKUP(C5,Specs,5,FALSE)</f>
        <v>2.7</v>
      </c>
      <c r="H5" s="13"/>
      <c r="I5" s="22">
        <v>0.81</v>
      </c>
      <c r="J5" s="22">
        <v>0.9</v>
      </c>
      <c r="K5" s="20"/>
      <c r="L5" s="1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1"/>
      <c r="I6" s="1"/>
      <c r="J6" s="1"/>
      <c r="K6" s="23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0" t="s">
        <v>12</v>
      </c>
      <c r="D7" s="10" t="s">
        <v>13</v>
      </c>
      <c r="E7" s="13"/>
      <c r="F7" s="10" t="s">
        <v>92</v>
      </c>
      <c r="G7" s="10" t="s">
        <v>15</v>
      </c>
      <c r="H7" s="2"/>
      <c r="I7" s="24" t="s">
        <v>16</v>
      </c>
      <c r="J7" s="24" t="s">
        <v>17</v>
      </c>
      <c r="K7" s="23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2.0</v>
      </c>
      <c r="D8" s="25">
        <v>2.0</v>
      </c>
      <c r="E8" s="1"/>
      <c r="F8" s="25">
        <v>154.0</v>
      </c>
      <c r="G8" s="22">
        <v>1.0</v>
      </c>
      <c r="H8" s="2"/>
      <c r="I8" s="25">
        <v>4.0</v>
      </c>
      <c r="J8" s="25">
        <v>1.1</v>
      </c>
      <c r="K8" s="23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27"/>
      <c r="I9" s="29"/>
      <c r="J9" s="30"/>
      <c r="K9" s="3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/>
      <c r="D10" s="32"/>
      <c r="E10" s="5"/>
      <c r="F10" s="5"/>
      <c r="G10" s="5"/>
      <c r="H10" s="5"/>
      <c r="I10" s="34"/>
      <c r="J10" s="36"/>
      <c r="K10" s="7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38" t="s">
        <v>20</v>
      </c>
      <c r="D11" s="38" t="s">
        <v>21</v>
      </c>
      <c r="E11" s="8"/>
      <c r="F11" s="40" t="s">
        <v>35</v>
      </c>
      <c r="G11" s="40" t="s">
        <v>96</v>
      </c>
      <c r="H11" s="2"/>
      <c r="I11" s="40" t="s">
        <v>26</v>
      </c>
      <c r="J11" s="2"/>
      <c r="K11" s="11"/>
      <c r="L11" s="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12.0</v>
      </c>
      <c r="D12" s="25">
        <v>40.0</v>
      </c>
      <c r="E12" s="13"/>
      <c r="F12" s="44">
        <f>G12/I$5</f>
        <v>6.659819426</v>
      </c>
      <c r="G12" s="44">
        <f>D$5*I$5*((I$8*0.0254/2)*2*PI())/(0.3048*60)*C12/D12*C13/D13*C14/D14*C15/D15</f>
        <v>5.394453735</v>
      </c>
      <c r="H12" s="2"/>
      <c r="I12" s="49">
        <f>((F$5-G$5)/E$5*(F$8*G$8*J$8/C$8*4.44822161526*I$8*0.0254/2/J$5/D$8*C12/D12*C13/D13*C14/D14*C15/D15))+G$5</f>
        <v>43.22551334</v>
      </c>
      <c r="J12" s="2"/>
      <c r="K12" s="20"/>
      <c r="L12" s="1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25">
        <v>14.0</v>
      </c>
      <c r="D13" s="25">
        <v>40.0</v>
      </c>
      <c r="E13" s="1"/>
      <c r="F13" s="68">
        <f>D12*D13*D14*D15/C12/C13/C14/C15</f>
        <v>13.96825397</v>
      </c>
      <c r="G13" s="1" t="s">
        <v>97</v>
      </c>
      <c r="H13" s="1"/>
      <c r="I13" s="1"/>
      <c r="J13" s="2"/>
      <c r="K13" s="23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25">
        <v>15.0</v>
      </c>
      <c r="D14" s="25">
        <v>22.0</v>
      </c>
      <c r="E14" s="1"/>
      <c r="F14" s="1"/>
      <c r="G14" s="1"/>
      <c r="H14" s="1"/>
      <c r="I14" s="47"/>
      <c r="J14" s="1"/>
      <c r="K14" s="23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25">
        <v>1.0</v>
      </c>
      <c r="D15" s="25">
        <v>1.0</v>
      </c>
      <c r="E15" s="1"/>
      <c r="F15" s="1"/>
      <c r="G15" s="1"/>
      <c r="H15" s="1"/>
      <c r="I15" s="69"/>
      <c r="J15" s="1"/>
      <c r="K15" s="23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6"/>
      <c r="C16" s="27"/>
      <c r="D16" s="27"/>
      <c r="E16" s="27"/>
      <c r="F16" s="27"/>
      <c r="G16" s="27"/>
      <c r="H16" s="27"/>
      <c r="I16" s="27"/>
      <c r="J16" s="27"/>
      <c r="K16" s="3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BBB59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67"/>
    <col customWidth="1" min="3" max="3" width="25.78"/>
    <col customWidth="1" min="4" max="4" width="11.11"/>
    <col customWidth="1" min="5" max="5" width="10.78"/>
    <col customWidth="1" min="6" max="6" width="13.33"/>
    <col customWidth="1" min="7" max="7" width="12.11"/>
    <col customWidth="1" min="8" max="8" width="2.44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98</v>
      </c>
      <c r="C2" s="3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5"/>
      <c r="D3" s="6"/>
      <c r="E3" s="5"/>
      <c r="F3" s="5"/>
      <c r="G3" s="5"/>
      <c r="H3" s="7"/>
      <c r="I3" s="1"/>
      <c r="J3" s="12" t="s">
        <v>99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15" t="s">
        <v>9</v>
      </c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11</v>
      </c>
      <c r="D5" s="18">
        <f>VLOOKUP(C5,MotorTwo,2,FALSE)</f>
        <v>5330</v>
      </c>
      <c r="E5" s="19">
        <f>VLOOKUP(C5,MotorTwo,3,FALSE)</f>
        <v>4.82</v>
      </c>
      <c r="F5" s="19">
        <f>VLOOKUP(C5,MotorTwo,4,FALSE)</f>
        <v>262</v>
      </c>
      <c r="G5" s="19">
        <f>VLOOKUP(C5,MotorTwo,5,FALSE)</f>
        <v>5.4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1"/>
      <c r="D6" s="8"/>
      <c r="E6" s="8"/>
      <c r="F6" s="13"/>
      <c r="G6" s="13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"/>
      <c r="D7" s="24" t="s">
        <v>16</v>
      </c>
      <c r="E7" s="24" t="s">
        <v>18</v>
      </c>
      <c r="F7" s="10" t="s">
        <v>14</v>
      </c>
      <c r="G7" s="10" t="s">
        <v>15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1"/>
      <c r="D8" s="25">
        <v>4.0</v>
      </c>
      <c r="E8" s="25">
        <v>1.1</v>
      </c>
      <c r="F8" s="25">
        <v>154.0</v>
      </c>
      <c r="G8" s="22">
        <v>1.0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7"/>
      <c r="D9" s="28"/>
      <c r="E9" s="28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33"/>
      <c r="C10" s="35" t="s">
        <v>19</v>
      </c>
      <c r="D10" s="32"/>
      <c r="E10" s="32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37"/>
      <c r="C11" s="39"/>
      <c r="D11" s="13"/>
      <c r="E11" s="13"/>
      <c r="F11" s="1"/>
      <c r="G11" s="1"/>
      <c r="H11" s="23"/>
      <c r="I11" s="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41"/>
      <c r="C12" s="42" t="s">
        <v>27</v>
      </c>
      <c r="D12" s="43" t="s">
        <v>88</v>
      </c>
      <c r="E12" s="45"/>
      <c r="F12" s="45"/>
      <c r="G12" s="46"/>
      <c r="H12" s="23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41"/>
      <c r="C13" s="42" t="s">
        <v>100</v>
      </c>
      <c r="D13" s="43" t="s">
        <v>101</v>
      </c>
      <c r="E13" s="45"/>
      <c r="F13" s="45"/>
      <c r="G13" s="46"/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41"/>
      <c r="C14" s="47"/>
      <c r="D14" s="47"/>
      <c r="E14" s="1"/>
      <c r="F14" s="47"/>
      <c r="G14" s="8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41"/>
      <c r="C15" s="47"/>
      <c r="D15" s="24" t="s">
        <v>20</v>
      </c>
      <c r="E15" s="24" t="s">
        <v>21</v>
      </c>
      <c r="F15" s="47"/>
      <c r="G15" s="8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41"/>
      <c r="C16" s="42" t="s">
        <v>102</v>
      </c>
      <c r="D16" s="25">
        <v>1.0</v>
      </c>
      <c r="E16" s="25">
        <v>1.0</v>
      </c>
      <c r="F16" s="47"/>
      <c r="G16" s="8"/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6"/>
      <c r="C17" s="27"/>
      <c r="D17" s="28"/>
      <c r="E17" s="28"/>
      <c r="F17" s="27"/>
      <c r="G17" s="27"/>
      <c r="H17" s="31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1"/>
      <c r="C18" s="39" t="s">
        <v>34</v>
      </c>
      <c r="D18" s="1"/>
      <c r="E18" s="1"/>
      <c r="F18" s="1"/>
      <c r="G18" s="2"/>
      <c r="H18" s="23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1"/>
      <c r="C19" s="1"/>
      <c r="D19" s="24" t="s">
        <v>35</v>
      </c>
      <c r="E19" s="24" t="s">
        <v>36</v>
      </c>
      <c r="F19" s="24" t="s">
        <v>37</v>
      </c>
      <c r="G19" s="24" t="s">
        <v>38</v>
      </c>
      <c r="H19" s="23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1"/>
      <c r="C20" s="42"/>
      <c r="D20" s="48">
        <f>E20/0.81</f>
        <v>9.767735159</v>
      </c>
      <c r="E20" s="48">
        <f>D$5*0.81*((D$8*0.0254/2)*2*PI())/(0.3048*60)*D24/E24*D25/E25*D26/E26</f>
        <v>7.911865479</v>
      </c>
      <c r="F20" s="49">
        <f>IF((((F$5-G$5)/E$5*(F$8*G$8*E$8/2*4.44822161526*D$8*0.0254/0.9/2*D24/E24*D25/E25*D26/E26))+G$5)&gt;F5,F5,(((F$5-G$5)/E$5*(F$8*G$8*E$8/2*4.44822161526*D$8*0.0254/0.9/2*D24/E24*D25/E25*D26/E26))+G$5))</f>
        <v>124.2748391</v>
      </c>
      <c r="G20" s="53">
        <f>E24*E25*E26/D24/D25/D26</f>
        <v>9.523809524</v>
      </c>
      <c r="H20" s="23"/>
      <c r="I20" s="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"/>
      <c r="B21" s="26"/>
      <c r="C21" s="27"/>
      <c r="D21" s="27"/>
      <c r="E21" s="27"/>
      <c r="F21" s="27"/>
      <c r="G21" s="27"/>
      <c r="H21" s="31"/>
      <c r="I21" s="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"/>
      <c r="B22" s="21"/>
      <c r="C22" s="39" t="s">
        <v>52</v>
      </c>
      <c r="D22" s="57"/>
      <c r="E22" s="13"/>
      <c r="F22" s="1"/>
      <c r="G22" s="1"/>
      <c r="H22" s="23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8"/>
      <c r="B23" s="9"/>
      <c r="C23" s="8"/>
      <c r="D23" s="24" t="s">
        <v>20</v>
      </c>
      <c r="E23" s="24" t="s">
        <v>21</v>
      </c>
      <c r="F23" s="8"/>
      <c r="G23" s="58"/>
      <c r="H23" s="11"/>
      <c r="I23" s="8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3"/>
      <c r="B24" s="41"/>
      <c r="C24" s="42" t="s">
        <v>55</v>
      </c>
      <c r="D24" s="61">
        <f>VLOOKUP(D12,initial2CIM,2,FALSE)</f>
        <v>12</v>
      </c>
      <c r="E24" s="61">
        <f>VLOOKUP(D12,initial2CIM,3,FALSE)</f>
        <v>40</v>
      </c>
      <c r="F24" s="2"/>
      <c r="G24" s="2"/>
      <c r="H24" s="20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"/>
      <c r="B25" s="41"/>
      <c r="C25" s="42" t="s">
        <v>103</v>
      </c>
      <c r="D25" s="61">
        <f>VLOOKUP(D13,SSDR,2,FALSE)</f>
        <v>14</v>
      </c>
      <c r="E25" s="61">
        <f>VLOOKUP(D13,SSDR,3,FALSE)</f>
        <v>40</v>
      </c>
      <c r="F25" s="2"/>
      <c r="G25" s="2"/>
      <c r="H25" s="23"/>
      <c r="I25" s="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"/>
      <c r="B26" s="63"/>
      <c r="C26" s="42" t="s">
        <v>62</v>
      </c>
      <c r="D26" s="61">
        <f t="shared" ref="D26:E26" si="1">D16</f>
        <v>1</v>
      </c>
      <c r="E26" s="61">
        <f t="shared" si="1"/>
        <v>1</v>
      </c>
      <c r="F26" s="1"/>
      <c r="G26" s="2"/>
      <c r="H26" s="23"/>
      <c r="I26" s="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"/>
      <c r="B27" s="26"/>
      <c r="C27" s="27"/>
      <c r="D27" s="64"/>
      <c r="E27" s="27"/>
      <c r="F27" s="27"/>
      <c r="G27" s="65"/>
      <c r="H27" s="31"/>
      <c r="I27" s="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D12:G12"/>
    <mergeCell ref="D13:G13"/>
  </mergeCells>
  <dataValidations>
    <dataValidation type="list" allowBlank="1" showErrorMessage="1" sqref="D13">
      <formula1>SSDRchoice</formula1>
    </dataValidation>
    <dataValidation type="list" allowBlank="1" showErrorMessage="1" sqref="D12">
      <formula1>initial2CIMchoice</formula1>
    </dataValidation>
    <dataValidation type="list" allowBlank="1" showErrorMessage="1" sqref="C5">
      <formula1>MotorTwochoice</formula1>
    </dataValidation>
  </dataValidations>
  <hyperlinks>
    <hyperlink r:id="rId1" ref="J3"/>
  </hyperlinks>
  <printOptions/>
  <pageMargins bottom="1.0" footer="0.0" header="0.0" left="0.75" right="0.75" top="1.0"/>
  <pageSetup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BBB59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.67"/>
    <col customWidth="1" min="3" max="3" width="25.78"/>
    <col customWidth="1" min="4" max="4" width="11.11"/>
    <col customWidth="1" min="5" max="5" width="10.78"/>
    <col customWidth="1" min="6" max="6" width="13.33"/>
    <col customWidth="1" min="7" max="7" width="12.11"/>
    <col customWidth="1" min="8" max="8" width="2.44"/>
    <col customWidth="1" min="9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104</v>
      </c>
      <c r="C2" s="3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5"/>
      <c r="D3" s="6"/>
      <c r="E3" s="5"/>
      <c r="F3" s="5"/>
      <c r="G3" s="5"/>
      <c r="H3" s="7"/>
      <c r="I3" s="1"/>
      <c r="J3" s="12" t="s">
        <v>105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8"/>
      <c r="B4" s="9"/>
      <c r="C4" s="15" t="s">
        <v>9</v>
      </c>
      <c r="D4" s="10" t="s">
        <v>3</v>
      </c>
      <c r="E4" s="10" t="s">
        <v>4</v>
      </c>
      <c r="F4" s="10" t="s">
        <v>5</v>
      </c>
      <c r="G4" s="10" t="s">
        <v>6</v>
      </c>
      <c r="H4" s="11"/>
      <c r="I4" s="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84</v>
      </c>
      <c r="D5" s="18">
        <f>VLOOKUP(C5,Motor,2,FALSE)</f>
        <v>5330</v>
      </c>
      <c r="E5" s="19">
        <f>VLOOKUP(C5,Motor,3,FALSE)</f>
        <v>7.23</v>
      </c>
      <c r="F5" s="19">
        <f>VLOOKUP(C5,Motor,4,FALSE)</f>
        <v>393</v>
      </c>
      <c r="G5" s="19">
        <f>VLOOKUP(C5,Motor,5,FALSE)</f>
        <v>8.1</v>
      </c>
      <c r="H5" s="20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1"/>
      <c r="D6" s="8"/>
      <c r="E6" s="8"/>
      <c r="F6" s="13"/>
      <c r="G6" s="13"/>
      <c r="H6" s="23"/>
      <c r="I6" s="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"/>
      <c r="D7" s="24" t="s">
        <v>16</v>
      </c>
      <c r="E7" s="24" t="s">
        <v>18</v>
      </c>
      <c r="F7" s="10" t="s">
        <v>14</v>
      </c>
      <c r="G7" s="10" t="s">
        <v>15</v>
      </c>
      <c r="H7" s="23"/>
      <c r="I7" s="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1"/>
      <c r="D8" s="25">
        <v>4.0</v>
      </c>
      <c r="E8" s="25">
        <v>1.1</v>
      </c>
      <c r="F8" s="25">
        <v>154.0</v>
      </c>
      <c r="G8" s="22">
        <v>1.0</v>
      </c>
      <c r="H8" s="23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7"/>
      <c r="D9" s="28"/>
      <c r="E9" s="28"/>
      <c r="F9" s="27"/>
      <c r="G9" s="27"/>
      <c r="H9" s="31"/>
      <c r="I9" s="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33"/>
      <c r="C10" s="35" t="s">
        <v>19</v>
      </c>
      <c r="D10" s="32"/>
      <c r="E10" s="32"/>
      <c r="F10" s="5"/>
      <c r="G10" s="5"/>
      <c r="H10" s="7"/>
      <c r="I10" s="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37"/>
      <c r="C11" s="39"/>
      <c r="D11" s="13"/>
      <c r="E11" s="13"/>
      <c r="F11" s="1"/>
      <c r="G11" s="1"/>
      <c r="H11" s="23"/>
      <c r="I11" s="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41"/>
      <c r="C12" s="42" t="s">
        <v>27</v>
      </c>
      <c r="D12" s="43" t="s">
        <v>106</v>
      </c>
      <c r="E12" s="45"/>
      <c r="F12" s="45"/>
      <c r="G12" s="46"/>
      <c r="H12" s="23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41"/>
      <c r="C13" s="42" t="s">
        <v>100</v>
      </c>
      <c r="D13" s="43" t="s">
        <v>108</v>
      </c>
      <c r="E13" s="45"/>
      <c r="F13" s="45"/>
      <c r="G13" s="46"/>
      <c r="H13" s="23"/>
      <c r="I13" s="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41"/>
      <c r="C14" s="47"/>
      <c r="D14" s="47"/>
      <c r="E14" s="1"/>
      <c r="F14" s="47"/>
      <c r="G14" s="8"/>
      <c r="H14" s="23"/>
      <c r="I14" s="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41"/>
      <c r="C15" s="47"/>
      <c r="D15" s="24" t="s">
        <v>20</v>
      </c>
      <c r="E15" s="24" t="s">
        <v>21</v>
      </c>
      <c r="F15" s="47"/>
      <c r="G15" s="8"/>
      <c r="H15" s="23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41"/>
      <c r="C16" s="42" t="s">
        <v>102</v>
      </c>
      <c r="D16" s="25">
        <v>1.0</v>
      </c>
      <c r="E16" s="25">
        <v>1.0</v>
      </c>
      <c r="F16" s="47"/>
      <c r="G16" s="8"/>
      <c r="H16" s="23"/>
      <c r="I16" s="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6"/>
      <c r="C17" s="27"/>
      <c r="D17" s="28"/>
      <c r="E17" s="28"/>
      <c r="F17" s="27"/>
      <c r="G17" s="27"/>
      <c r="H17" s="31"/>
      <c r="I17" s="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1"/>
      <c r="C18" s="39" t="s">
        <v>34</v>
      </c>
      <c r="D18" s="1"/>
      <c r="E18" s="1"/>
      <c r="F18" s="1"/>
      <c r="G18" s="2"/>
      <c r="H18" s="23"/>
      <c r="I18" s="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1"/>
      <c r="C19" s="1"/>
      <c r="D19" s="24" t="s">
        <v>35</v>
      </c>
      <c r="E19" s="24" t="s">
        <v>36</v>
      </c>
      <c r="F19" s="24" t="s">
        <v>37</v>
      </c>
      <c r="G19" s="24" t="s">
        <v>38</v>
      </c>
      <c r="H19" s="23"/>
      <c r="I19" s="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1"/>
      <c r="C20" s="42"/>
      <c r="D20" s="48">
        <f>E20/0.81</f>
        <v>17.39587119</v>
      </c>
      <c r="E20" s="48">
        <f>D$5*0.81*((D$8*0.0254/2)*2*PI())/(0.3048*60)*D24/E24*D25/E25*D26/E26</f>
        <v>14.09065566</v>
      </c>
      <c r="F20" s="49">
        <f>IF((((F$5-G$5)/E$5*(F$8*G$8*E$8/2*4.44822161526*D$8*0.0254/0.9/2*D24/E24*D25/E25*D26/E26))+G$5)&gt;F5,F5,(((F$5-G$5)/E$5*(F$8*G$8*E$8/2*4.44822161526*D$8*0.0254/0.9/2*D24/E24*D25/E25*D26/E26))+G$5))</f>
        <v>219.8104278</v>
      </c>
      <c r="G20" s="53">
        <f>E24*E25*E26/D24/D25/D26</f>
        <v>5.347593583</v>
      </c>
      <c r="H20" s="23"/>
      <c r="I20" s="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"/>
      <c r="B21" s="26"/>
      <c r="C21" s="27"/>
      <c r="D21" s="27"/>
      <c r="E21" s="27"/>
      <c r="F21" s="27"/>
      <c r="G21" s="27"/>
      <c r="H21" s="31"/>
      <c r="I21" s="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"/>
      <c r="B22" s="21"/>
      <c r="C22" s="39" t="s">
        <v>52</v>
      </c>
      <c r="D22" s="57"/>
      <c r="E22" s="13"/>
      <c r="F22" s="1"/>
      <c r="G22" s="1"/>
      <c r="H22" s="23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8"/>
      <c r="B23" s="9"/>
      <c r="C23" s="8"/>
      <c r="D23" s="24" t="s">
        <v>20</v>
      </c>
      <c r="E23" s="24" t="s">
        <v>21</v>
      </c>
      <c r="F23" s="8"/>
      <c r="G23" s="58"/>
      <c r="H23" s="11"/>
      <c r="I23" s="8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3"/>
      <c r="B24" s="41"/>
      <c r="C24" s="42" t="s">
        <v>55</v>
      </c>
      <c r="D24" s="61">
        <f>VLOOKUP(D12,WCPSSinput,2,FALSE)</f>
        <v>11</v>
      </c>
      <c r="E24" s="61">
        <f>VLOOKUP(D12,WCPSSinput,3,FALSE)</f>
        <v>50</v>
      </c>
      <c r="F24" s="2"/>
      <c r="G24" s="2"/>
      <c r="H24" s="20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"/>
      <c r="B25" s="41"/>
      <c r="C25" s="42" t="s">
        <v>103</v>
      </c>
      <c r="D25" s="61">
        <f>VLOOKUP(D13,WCPSSsecond,2,FALSE)</f>
        <v>34</v>
      </c>
      <c r="E25" s="61">
        <f>VLOOKUP(D13,WCPSSsecond,3,FALSE)</f>
        <v>40</v>
      </c>
      <c r="F25" s="2"/>
      <c r="G25" s="2"/>
      <c r="H25" s="23"/>
      <c r="I25" s="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"/>
      <c r="B26" s="63"/>
      <c r="C26" s="42" t="s">
        <v>62</v>
      </c>
      <c r="D26" s="61">
        <f t="shared" ref="D26:E26" si="1">D16</f>
        <v>1</v>
      </c>
      <c r="E26" s="61">
        <f t="shared" si="1"/>
        <v>1</v>
      </c>
      <c r="F26" s="1"/>
      <c r="G26" s="2"/>
      <c r="H26" s="23"/>
      <c r="I26" s="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"/>
      <c r="B27" s="26"/>
      <c r="C27" s="27"/>
      <c r="D27" s="64"/>
      <c r="E27" s="27"/>
      <c r="F27" s="27"/>
      <c r="G27" s="65"/>
      <c r="H27" s="31"/>
      <c r="I27" s="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D12:G12"/>
    <mergeCell ref="D13:G13"/>
  </mergeCells>
  <dataValidations>
    <dataValidation type="list" allowBlank="1" showErrorMessage="1" sqref="D12">
      <formula1>WCPSSinputchoice</formula1>
    </dataValidation>
    <dataValidation type="list" allowBlank="1" showErrorMessage="1" sqref="D13">
      <formula1>WCPSSsecondchoice</formula1>
    </dataValidation>
    <dataValidation type="list" allowBlank="1" showErrorMessage="1" sqref="C5">
      <formula1>MotorChoice</formula1>
    </dataValidation>
  </dataValidations>
  <hyperlinks>
    <hyperlink r:id="rId1" ref="J3"/>
  </hyperlinks>
  <printOptions/>
  <pageMargins bottom="1.0" footer="0.0" header="0.0" left="0.75" right="0.75" top="1.0"/>
  <pageSetup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0504D"/>
    <pageSetUpPr/>
  </sheetPr>
  <sheetViews>
    <sheetView workbookViewId="0"/>
  </sheetViews>
  <sheetFormatPr customHeight="1" defaultColWidth="11.22" defaultRowHeight="15.0"/>
  <cols>
    <col customWidth="1" min="1" max="1" width="4.0"/>
    <col customWidth="1" min="2" max="2" width="2.78"/>
    <col customWidth="1" min="3" max="3" width="11.78"/>
    <col customWidth="1" min="4" max="4" width="11.11"/>
    <col customWidth="1" min="5" max="7" width="10.78"/>
    <col customWidth="1" min="8" max="8" width="3.67"/>
    <col customWidth="1" min="9" max="10" width="10.78"/>
    <col customWidth="1" min="11" max="11" width="13.78"/>
    <col customWidth="1" min="12" max="12" width="5.78"/>
    <col customWidth="1" min="13" max="26" width="10.7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107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4"/>
      <c r="C3" s="6"/>
      <c r="D3" s="5"/>
      <c r="E3" s="5"/>
      <c r="F3" s="5"/>
      <c r="G3" s="5"/>
      <c r="H3" s="5"/>
      <c r="I3" s="5"/>
      <c r="J3" s="5"/>
      <c r="K3" s="5"/>
      <c r="L3" s="7"/>
      <c r="M3" s="1"/>
      <c r="N3" s="1"/>
      <c r="O3" s="1"/>
      <c r="P3" s="1"/>
      <c r="Q3" s="2"/>
      <c r="R3" s="2"/>
      <c r="S3" s="2"/>
      <c r="T3" s="2"/>
      <c r="U3" s="2"/>
      <c r="V3" s="2"/>
      <c r="W3" s="2"/>
      <c r="X3" s="2"/>
      <c r="Y3" s="2"/>
      <c r="Z3" s="2"/>
    </row>
    <row r="4" ht="48.0" customHeight="1">
      <c r="A4" s="8"/>
      <c r="B4" s="9"/>
      <c r="C4" s="8"/>
      <c r="D4" s="10" t="s">
        <v>3</v>
      </c>
      <c r="E4" s="10" t="s">
        <v>4</v>
      </c>
      <c r="F4" s="10" t="s">
        <v>5</v>
      </c>
      <c r="G4" s="10" t="s">
        <v>6</v>
      </c>
      <c r="H4" s="8"/>
      <c r="I4" s="10" t="s">
        <v>86</v>
      </c>
      <c r="J4" s="10" t="s">
        <v>8</v>
      </c>
      <c r="K4" s="8"/>
      <c r="L4" s="11"/>
      <c r="M4" s="8"/>
      <c r="N4" s="8"/>
      <c r="O4" s="8"/>
      <c r="P4" s="8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/>
      <c r="B5" s="14"/>
      <c r="C5" s="16" t="s">
        <v>10</v>
      </c>
      <c r="D5" s="18">
        <f>VLOOKUP(C5,Specs,2,FALSE)</f>
        <v>5330</v>
      </c>
      <c r="E5" s="19">
        <f>VLOOKUP(C5,Specs,3,FALSE)</f>
        <v>2.41</v>
      </c>
      <c r="F5" s="19">
        <f>VLOOKUP(C5,Specs,4,FALSE)</f>
        <v>131</v>
      </c>
      <c r="G5" s="19">
        <f>VLOOKUP(C5,Specs,5,FALSE)</f>
        <v>2.7</v>
      </c>
      <c r="H5" s="13"/>
      <c r="I5" s="22">
        <v>0.81</v>
      </c>
      <c r="J5" s="22">
        <v>0.9</v>
      </c>
      <c r="K5" s="13"/>
      <c r="L5" s="20"/>
      <c r="M5" s="13"/>
      <c r="N5" s="13"/>
      <c r="O5" s="13"/>
      <c r="P5" s="13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21"/>
      <c r="C6" s="8"/>
      <c r="D6" s="8"/>
      <c r="E6" s="13"/>
      <c r="F6" s="13"/>
      <c r="G6" s="1"/>
      <c r="H6" s="1"/>
      <c r="I6" s="1"/>
      <c r="J6" s="1"/>
      <c r="K6" s="1"/>
      <c r="L6" s="23"/>
      <c r="M6" s="1"/>
      <c r="N6" s="1"/>
      <c r="O6" s="1"/>
      <c r="P6" s="1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1"/>
      <c r="C7" s="10" t="s">
        <v>12</v>
      </c>
      <c r="D7" s="10" t="s">
        <v>13</v>
      </c>
      <c r="E7" s="13"/>
      <c r="F7" s="10" t="s">
        <v>92</v>
      </c>
      <c r="G7" s="10" t="s">
        <v>15</v>
      </c>
      <c r="H7" s="2"/>
      <c r="I7" s="10" t="s">
        <v>109</v>
      </c>
      <c r="J7" s="10" t="s">
        <v>110</v>
      </c>
      <c r="K7" s="10" t="s">
        <v>111</v>
      </c>
      <c r="L7" s="23"/>
      <c r="M7" s="1"/>
      <c r="N7" s="1"/>
      <c r="O7" s="1"/>
      <c r="P7" s="1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21"/>
      <c r="C8" s="25">
        <v>4.0</v>
      </c>
      <c r="D8" s="25">
        <v>1.0</v>
      </c>
      <c r="E8" s="1"/>
      <c r="F8" s="25">
        <f>SUM(I8:K8)</f>
        <v>154</v>
      </c>
      <c r="G8" s="22">
        <v>1.0</v>
      </c>
      <c r="H8" s="2"/>
      <c r="I8" s="25">
        <v>120.0</v>
      </c>
      <c r="J8" s="25">
        <v>20.0</v>
      </c>
      <c r="K8" s="25">
        <v>14.0</v>
      </c>
      <c r="L8" s="23"/>
      <c r="M8" s="1"/>
      <c r="N8" s="1"/>
      <c r="O8" s="1"/>
      <c r="P8" s="1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6"/>
      <c r="C9" s="28"/>
      <c r="D9" s="28"/>
      <c r="E9" s="27"/>
      <c r="F9" s="27"/>
      <c r="G9" s="27"/>
      <c r="H9" s="27"/>
      <c r="I9" s="29"/>
      <c r="J9" s="30"/>
      <c r="K9" s="27"/>
      <c r="L9" s="31"/>
      <c r="M9" s="1"/>
      <c r="N9" s="1"/>
      <c r="O9" s="1"/>
      <c r="P9" s="1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4"/>
      <c r="C10" s="6" t="s">
        <v>112</v>
      </c>
      <c r="D10" s="32"/>
      <c r="E10" s="5"/>
      <c r="F10" s="5"/>
      <c r="G10" s="5"/>
      <c r="H10" s="5"/>
      <c r="I10" s="34"/>
      <c r="J10" s="36"/>
      <c r="K10" s="5"/>
      <c r="L10" s="7"/>
      <c r="M10" s="1"/>
      <c r="N10" s="1"/>
      <c r="O10" s="1"/>
      <c r="P10" s="1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8"/>
      <c r="B11" s="9"/>
      <c r="C11" s="40" t="s">
        <v>113</v>
      </c>
      <c r="D11" s="40" t="s">
        <v>114</v>
      </c>
      <c r="E11" s="8"/>
      <c r="F11" s="40" t="s">
        <v>20</v>
      </c>
      <c r="G11" s="40" t="s">
        <v>21</v>
      </c>
      <c r="H11" s="8"/>
      <c r="I11" s="40" t="s">
        <v>115</v>
      </c>
      <c r="J11" s="40" t="s">
        <v>116</v>
      </c>
      <c r="K11" s="40" t="s">
        <v>26</v>
      </c>
      <c r="L11" s="11"/>
      <c r="M11" s="8"/>
      <c r="N11" s="8"/>
      <c r="O11" s="8"/>
      <c r="P11" s="8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/>
      <c r="B12" s="14"/>
      <c r="C12" s="25">
        <v>4.0</v>
      </c>
      <c r="D12" s="25">
        <v>1.1</v>
      </c>
      <c r="E12" s="13"/>
      <c r="F12" s="25">
        <v>12.0</v>
      </c>
      <c r="G12" s="25">
        <v>64.0</v>
      </c>
      <c r="H12" s="13"/>
      <c r="I12" s="71">
        <f>J12/I$5</f>
        <v>17.44238421</v>
      </c>
      <c r="J12" s="71">
        <f>D$5*(F12/G12*F13/G13)*I$5*((C12*0.0254/2)*2*PI())/(0.3048*60)</f>
        <v>14.12833121</v>
      </c>
      <c r="K12" s="49">
        <f>((((F$5)-(G$5))/(E$5))*(((F$8*G$8*D12/C$8*4.44822161526*C12*0.0254/2/$J$5)*(F12/G12*F13/G13))/D$8))+(G$5)</f>
        <v>108.8382492</v>
      </c>
      <c r="L12" s="20"/>
      <c r="M12" s="13"/>
      <c r="N12" s="13"/>
      <c r="O12" s="13"/>
      <c r="P12" s="13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1"/>
      <c r="C13" s="1"/>
      <c r="D13" s="1"/>
      <c r="E13" s="1"/>
      <c r="F13" s="25">
        <v>1.0</v>
      </c>
      <c r="G13" s="25">
        <v>1.0</v>
      </c>
      <c r="H13" s="1"/>
      <c r="I13" s="1"/>
      <c r="J13" s="1"/>
      <c r="K13" s="1"/>
      <c r="L13" s="23"/>
      <c r="M13" s="1"/>
      <c r="N13" s="1"/>
      <c r="O13" s="1"/>
      <c r="P13" s="1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21"/>
      <c r="C14" s="1"/>
      <c r="D14" s="1"/>
      <c r="E14" s="1"/>
      <c r="F14" s="1"/>
      <c r="G14" s="1"/>
      <c r="H14" s="1"/>
      <c r="I14" s="47"/>
      <c r="J14" s="1"/>
      <c r="K14" s="1"/>
      <c r="L14" s="23"/>
      <c r="M14" s="1"/>
      <c r="N14" s="1"/>
      <c r="O14" s="1"/>
      <c r="P14" s="1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1"/>
      <c r="C15" s="51" t="s">
        <v>117</v>
      </c>
      <c r="D15" s="51" t="s">
        <v>118</v>
      </c>
      <c r="E15" s="1"/>
      <c r="F15" s="51" t="s">
        <v>20</v>
      </c>
      <c r="G15" s="51" t="s">
        <v>21</v>
      </c>
      <c r="H15" s="1"/>
      <c r="I15" s="51" t="s">
        <v>119</v>
      </c>
      <c r="J15" s="51" t="s">
        <v>120</v>
      </c>
      <c r="K15" s="51" t="s">
        <v>26</v>
      </c>
      <c r="L15" s="23"/>
      <c r="M15" s="1"/>
      <c r="N15" s="1"/>
      <c r="O15" s="1"/>
      <c r="P15" s="1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1"/>
      <c r="C16" s="25">
        <v>4.0</v>
      </c>
      <c r="D16" s="25">
        <v>1.2</v>
      </c>
      <c r="E16" s="1"/>
      <c r="F16" s="61">
        <f t="shared" ref="F16:G16" si="1">F12</f>
        <v>12</v>
      </c>
      <c r="G16" s="61">
        <f t="shared" si="1"/>
        <v>64</v>
      </c>
      <c r="H16" s="1"/>
      <c r="I16" s="71">
        <f>J16/I$5</f>
        <v>7.475307519</v>
      </c>
      <c r="J16" s="71">
        <f>D$5*(F16/G16*F17/G17)*I$5*C16*0.0254/2*2*PI()/(0.3048*60)</f>
        <v>6.054999091</v>
      </c>
      <c r="K16" s="49">
        <f>((F$5-G$5)/E$5*(F$8*G$8*D16/C$8*4.44822161526*C16*0.0254/2/J$5*F16/G16*F17/G17/D$8))+G$5</f>
        <v>52.32307755</v>
      </c>
      <c r="L16" s="23"/>
      <c r="M16" s="1"/>
      <c r="N16" s="1"/>
      <c r="O16" s="1"/>
      <c r="P16" s="1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1"/>
      <c r="C17" s="1"/>
      <c r="D17" s="1"/>
      <c r="E17" s="1"/>
      <c r="F17" s="25">
        <v>18.0</v>
      </c>
      <c r="G17" s="25">
        <v>42.0</v>
      </c>
      <c r="H17" s="1"/>
      <c r="I17" s="13">
        <f>I12/I16</f>
        <v>2.333333333</v>
      </c>
      <c r="J17" s="1" t="s">
        <v>121</v>
      </c>
      <c r="K17" s="1"/>
      <c r="L17" s="23"/>
      <c r="M17" s="1"/>
      <c r="N17" s="1"/>
      <c r="O17" s="1"/>
      <c r="P17" s="1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31"/>
      <c r="M18" s="1"/>
      <c r="N18" s="1"/>
      <c r="O18" s="1"/>
      <c r="P18" s="1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>
    <dataValidation type="list" allowBlank="1" showErrorMessage="1" sqref="C5">
      <formula1>Motors</formula1>
    </dataValidation>
  </dataValidations>
  <printOptions/>
  <pageMargins bottom="1.0" footer="0.0" header="0.0" left="0.75" right="0.75" top="1.0"/>
  <pageSetup orientation="portrait"/>
  <drawing r:id="rId1"/>
</worksheet>
</file>